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G64" i="1" l="1"/>
  <c r="F64" i="1"/>
  <c r="E62" i="1"/>
  <c r="E63" i="1"/>
  <c r="E66" i="1"/>
  <c r="G62" i="1"/>
  <c r="F62" i="1"/>
  <c r="F61" i="1"/>
  <c r="E59" i="1" l="1"/>
  <c r="E65" i="1" l="1"/>
  <c r="E64" i="1"/>
  <c r="G65" i="1"/>
  <c r="G66" i="1"/>
  <c r="G63" i="1"/>
  <c r="G41" i="1"/>
  <c r="F41" i="1"/>
  <c r="E41" i="1"/>
  <c r="E35" i="1"/>
  <c r="G59" i="1"/>
  <c r="F59" i="1"/>
  <c r="E51" i="1"/>
  <c r="E50" i="1"/>
  <c r="F50" i="1" s="1"/>
  <c r="G50" i="1" s="1"/>
  <c r="E49" i="1"/>
  <c r="F49" i="1" s="1"/>
  <c r="G49" i="1" s="1"/>
  <c r="G45" i="1"/>
  <c r="F45" i="1"/>
  <c r="E45" i="1"/>
  <c r="F40" i="1"/>
  <c r="E40" i="1"/>
  <c r="G38" i="1"/>
  <c r="F38" i="1"/>
  <c r="E38" i="1"/>
  <c r="G34" i="1"/>
  <c r="F34" i="1"/>
  <c r="F36" i="1"/>
  <c r="G37" i="1"/>
  <c r="F37" i="1"/>
  <c r="E37" i="1"/>
  <c r="E36" i="1"/>
  <c r="E34" i="1"/>
  <c r="G52" i="1" l="1"/>
  <c r="E52" i="1"/>
  <c r="F52" i="1"/>
  <c r="E28" i="1"/>
  <c r="F17" i="1"/>
  <c r="F16" i="1"/>
  <c r="F15" i="1"/>
  <c r="B24" i="1"/>
  <c r="E24" i="1" s="1"/>
  <c r="B23" i="1"/>
  <c r="E23" i="1" s="1"/>
  <c r="B12" i="1"/>
  <c r="F12" i="1" s="1"/>
  <c r="G12" i="1" s="1"/>
  <c r="B11" i="1"/>
  <c r="F11" i="1" s="1"/>
  <c r="G11" i="1" s="1"/>
  <c r="B10" i="1"/>
  <c r="F10" i="1" s="1"/>
  <c r="G10" i="1" s="1"/>
  <c r="B9" i="1"/>
  <c r="F9" i="1" s="1"/>
  <c r="G9" i="1" s="1"/>
  <c r="G18" i="1"/>
  <c r="E18" i="1"/>
  <c r="E10" i="1" l="1"/>
  <c r="E12" i="1"/>
  <c r="F23" i="1"/>
  <c r="G23" i="1" s="1"/>
  <c r="E9" i="1"/>
  <c r="E11" i="1"/>
  <c r="E25" i="1"/>
  <c r="E29" i="1" s="1"/>
  <c r="F24" i="1"/>
  <c r="G24" i="1" s="1"/>
  <c r="F18" i="1"/>
  <c r="G13" i="1"/>
  <c r="G19" i="1" s="1"/>
  <c r="F13" i="1"/>
  <c r="F63" i="1" l="1"/>
  <c r="F65" i="1" s="1"/>
  <c r="F66" i="1" s="1"/>
  <c r="E13" i="1"/>
  <c r="E19" i="1" s="1"/>
  <c r="F19" i="1"/>
  <c r="G25" i="1"/>
  <c r="G29" i="1" s="1"/>
  <c r="G30" i="1" s="1"/>
  <c r="F25" i="1"/>
  <c r="F29" i="1" s="1"/>
  <c r="E30" i="1"/>
  <c r="G61" i="1" l="1"/>
  <c r="E61" i="1"/>
  <c r="F30" i="1"/>
</calcChain>
</file>

<file path=xl/sharedStrings.xml><?xml version="1.0" encoding="utf-8"?>
<sst xmlns="http://schemas.openxmlformats.org/spreadsheetml/2006/main" count="122" uniqueCount="65">
  <si>
    <t>DRAFT FINANCIAL PLAN - COST ESTIMATES PER YEAR</t>
  </si>
  <si>
    <t>Expense</t>
  </si>
  <si>
    <t>Cost per unit</t>
  </si>
  <si>
    <t>Hrs/ # / mileage</t>
  </si>
  <si>
    <t>No. dates/notes</t>
  </si>
  <si>
    <t>Comments</t>
  </si>
  <si>
    <t>Project Manager</t>
  </si>
  <si>
    <t>Personnel - Data Management, Analysis, and Reporting</t>
  </si>
  <si>
    <t>Rental fuel</t>
  </si>
  <si>
    <t>Principal Investigator</t>
  </si>
  <si>
    <t>NA</t>
  </si>
  <si>
    <t>Biologist</t>
  </si>
  <si>
    <t>USDA - APHIS</t>
  </si>
  <si>
    <t>Biological Technician</t>
  </si>
  <si>
    <t>Point Blue</t>
  </si>
  <si>
    <t>Personnel - Project Planning and Management/ Field Work - Salary and Benefits</t>
  </si>
  <si>
    <t>Subtotal- Planning, Mngmt, Field</t>
  </si>
  <si>
    <t>Subtotal - USDA - APHIS</t>
  </si>
  <si>
    <t>Subtotal - Point Blue</t>
  </si>
  <si>
    <t>Subtotal- Data Analysis and Reporting</t>
  </si>
  <si>
    <t>assumes GS-13/6; 2018 pay scale + 35% benefits</t>
  </si>
  <si>
    <t>assumes GS-12/6; 2018 pay scale + 35% benefits</t>
  </si>
  <si>
    <t>assumes GS-11/6; 2018 pay scale + 35% benefits</t>
  </si>
  <si>
    <t>PROJECT TITLE: FARALLON HOUSE MOUSE ERADICATION PROJECT  - MONITORING PLAN</t>
  </si>
  <si>
    <t>SUBTOTAL - PERSONNEL</t>
  </si>
  <si>
    <t>Operating Expenses - Travel</t>
  </si>
  <si>
    <t xml:space="preserve">Lodging </t>
  </si>
  <si>
    <t>M&amp;IE</t>
  </si>
  <si>
    <t>Vehicle rental</t>
  </si>
  <si>
    <t xml:space="preserve">Parking </t>
  </si>
  <si>
    <t>Animal Tissues</t>
  </si>
  <si>
    <t>Plant tissue - method development</t>
  </si>
  <si>
    <t>Cricket tissue - method development</t>
  </si>
  <si>
    <t>Other - method development</t>
  </si>
  <si>
    <t>Water samples</t>
  </si>
  <si>
    <t>Soil samples</t>
  </si>
  <si>
    <t>Bait Analysis</t>
  </si>
  <si>
    <t>Supplies, Equipment, Printing, Shipping, and Other Services</t>
  </si>
  <si>
    <t>front and back ends of trips</t>
  </si>
  <si>
    <t>per person  per trip (RT)</t>
  </si>
  <si>
    <t>SUBTOTAL - TRAVEL</t>
  </si>
  <si>
    <t>reduced rate ($41.25) when on SE Farallon island</t>
  </si>
  <si>
    <t>FY2018, 2019, and 2020</t>
  </si>
  <si>
    <t>200 samples (2018); 100 samples other years</t>
  </si>
  <si>
    <t>Misc. supplies</t>
  </si>
  <si>
    <t>Printing</t>
  </si>
  <si>
    <t xml:space="preserve">Shiiping </t>
  </si>
  <si>
    <t>SUBTOTAL - MISC.</t>
  </si>
  <si>
    <t>FY 2018</t>
  </si>
  <si>
    <t>FY 2019</t>
  </si>
  <si>
    <t>FY 2020</t>
  </si>
  <si>
    <t>Point Blue Overhead (35%)</t>
  </si>
  <si>
    <t>TOTAL - USDA</t>
  </si>
  <si>
    <t>TOTAL - POINT BLUE</t>
  </si>
  <si>
    <t>GSA city pair rate (2016)</t>
  </si>
  <si>
    <t>2016 lodging rate for SFO</t>
  </si>
  <si>
    <t>2016 rates for SFO</t>
  </si>
  <si>
    <t xml:space="preserve">Airfare </t>
  </si>
  <si>
    <t>Baggage fees</t>
  </si>
  <si>
    <t>RT per person</t>
  </si>
  <si>
    <t>GRAND SUBTOTAL (minus overhead)</t>
  </si>
  <si>
    <t>GRAND TOTAL - PER YEAR</t>
  </si>
  <si>
    <t xml:space="preserve">Laboratory Analyses </t>
  </si>
  <si>
    <t>SUBTOTAL - LAB ANALYSIS</t>
  </si>
  <si>
    <t>USDA Overhead (28%) - on all direct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</si>
</sst>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0"/>
      <color rgb="FF3333FF"/>
      <name val="Arial"/>
      <family val="2"/>
    </font>
    <font>
      <b/>
      <sz val="14"/>
      <name val="Arial"/>
      <family val="2"/>
    </font>
    <font>
      <b/>
      <sz val="12"/>
      <color rgb="FF3333FF"/>
      <name val="Arial"/>
      <family val="2"/>
    </font>
    <font>
      <b/>
      <sz val="12"/>
      <color rgb="FF7030A0"/>
      <name val="Arial"/>
      <family val="2"/>
    </font>
    <font>
      <b/>
      <u/>
      <sz val="14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6"/>
      <color theme="1"/>
      <name val="Calibri"/>
      <family val="2"/>
      <scheme val="minor"/>
    </font>
    <font>
      <b/>
      <sz val="12"/>
      <color theme="7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2">
    <xf numFmtId="0" fontId="0" fillId="0" borderId="0" xfId="0"/>
    <xf numFmtId="0" fontId="3" fillId="0" borderId="1" xfId="1" applyFont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165" fontId="3" fillId="0" borderId="1" xfId="1" applyNumberFormat="1" applyFont="1" applyBorder="1" applyAlignment="1">
      <alignment horizontal="center"/>
    </xf>
    <xf numFmtId="0" fontId="4" fillId="5" borderId="1" xfId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 wrapText="1"/>
    </xf>
    <xf numFmtId="3" fontId="3" fillId="0" borderId="1" xfId="1" applyNumberFormat="1" applyFont="1" applyFill="1" applyBorder="1" applyAlignment="1">
      <alignment horizontal="center"/>
    </xf>
    <xf numFmtId="0" fontId="0" fillId="0" borderId="1" xfId="0" applyBorder="1"/>
    <xf numFmtId="165" fontId="3" fillId="0" borderId="1" xfId="1" applyNumberFormat="1" applyFont="1" applyFill="1" applyBorder="1" applyAlignment="1">
      <alignment horizontal="center" wrapText="1"/>
    </xf>
    <xf numFmtId="0" fontId="0" fillId="0" borderId="0" xfId="0" applyFill="1"/>
    <xf numFmtId="165" fontId="3" fillId="3" borderId="1" xfId="1" applyNumberFormat="1" applyFont="1" applyFill="1" applyBorder="1" applyAlignment="1">
      <alignment horizontal="center" wrapText="1"/>
    </xf>
    <xf numFmtId="0" fontId="3" fillId="3" borderId="1" xfId="1" applyFont="1" applyFill="1" applyBorder="1" applyAlignment="1">
      <alignment horizontal="center" wrapText="1"/>
    </xf>
    <xf numFmtId="3" fontId="3" fillId="3" borderId="1" xfId="1" applyNumberFormat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horizontal="center" wrapText="1"/>
    </xf>
    <xf numFmtId="0" fontId="3" fillId="3" borderId="1" xfId="1" applyFont="1" applyFill="1" applyBorder="1" applyAlignment="1">
      <alignment horizontal="center"/>
    </xf>
    <xf numFmtId="3" fontId="3" fillId="3" borderId="1" xfId="1" applyNumberFormat="1" applyFont="1" applyFill="1" applyBorder="1" applyAlignment="1">
      <alignment horizontal="center"/>
    </xf>
    <xf numFmtId="165" fontId="3" fillId="3" borderId="1" xfId="1" applyNumberFormat="1" applyFont="1" applyFill="1" applyBorder="1" applyAlignment="1">
      <alignment horizontal="center"/>
    </xf>
    <xf numFmtId="0" fontId="4" fillId="3" borderId="1" xfId="1" applyFont="1" applyFill="1" applyBorder="1" applyAlignment="1">
      <alignment horizontal="center"/>
    </xf>
    <xf numFmtId="3" fontId="4" fillId="3" borderId="1" xfId="1" applyNumberFormat="1" applyFont="1" applyFill="1" applyBorder="1" applyAlignment="1">
      <alignment horizontal="center"/>
    </xf>
    <xf numFmtId="0" fontId="1" fillId="4" borderId="0" xfId="0" applyFont="1" applyFill="1" applyBorder="1"/>
    <xf numFmtId="0" fontId="0" fillId="0" borderId="0" xfId="0" applyBorder="1"/>
    <xf numFmtId="0" fontId="0" fillId="4" borderId="0" xfId="0" applyFill="1" applyBorder="1"/>
    <xf numFmtId="0" fontId="2" fillId="4" borderId="0" xfId="0" applyFont="1" applyFill="1" applyBorder="1"/>
    <xf numFmtId="0" fontId="10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left" wrapText="1"/>
    </xf>
    <xf numFmtId="0" fontId="4" fillId="3" borderId="6" xfId="1" applyFont="1" applyFill="1" applyBorder="1" applyAlignment="1">
      <alignment horizontal="left" wrapText="1"/>
    </xf>
    <xf numFmtId="0" fontId="9" fillId="0" borderId="5" xfId="1" applyFont="1" applyBorder="1" applyAlignment="1">
      <alignment horizontal="center" wrapText="1"/>
    </xf>
    <xf numFmtId="0" fontId="3" fillId="0" borderId="5" xfId="1" applyFont="1" applyFill="1" applyBorder="1" applyAlignment="1">
      <alignment horizontal="right"/>
    </xf>
    <xf numFmtId="0" fontId="3" fillId="0" borderId="6" xfId="1" applyFont="1" applyFill="1" applyBorder="1" applyAlignment="1">
      <alignment horizontal="left" wrapText="1"/>
    </xf>
    <xf numFmtId="0" fontId="9" fillId="0" borderId="5" xfId="1" applyFont="1" applyFill="1" applyBorder="1" applyAlignment="1">
      <alignment horizontal="center"/>
    </xf>
    <xf numFmtId="0" fontId="3" fillId="3" borderId="6" xfId="1" applyFont="1" applyFill="1" applyBorder="1" applyAlignment="1">
      <alignment horizontal="left" wrapText="1"/>
    </xf>
    <xf numFmtId="0" fontId="3" fillId="0" borderId="5" xfId="1" applyFont="1" applyFill="1" applyBorder="1" applyAlignment="1">
      <alignment horizontal="right" wrapText="1"/>
    </xf>
    <xf numFmtId="0" fontId="4" fillId="0" borderId="6" xfId="1" applyFont="1" applyFill="1" applyBorder="1" applyAlignment="1">
      <alignment horizontal="left" wrapText="1"/>
    </xf>
    <xf numFmtId="0" fontId="3" fillId="0" borderId="5" xfId="1" applyFont="1" applyBorder="1"/>
    <xf numFmtId="0" fontId="3" fillId="0" borderId="6" xfId="1" applyFont="1" applyBorder="1" applyAlignment="1">
      <alignment horizontal="left" wrapText="1"/>
    </xf>
    <xf numFmtId="0" fontId="3" fillId="3" borderId="5" xfId="1" applyFont="1" applyFill="1" applyBorder="1"/>
    <xf numFmtId="0" fontId="8" fillId="0" borderId="5" xfId="1" applyFont="1" applyFill="1" applyBorder="1" applyAlignment="1"/>
    <xf numFmtId="0" fontId="3" fillId="3" borderId="5" xfId="1" applyFont="1" applyFill="1" applyBorder="1" applyAlignment="1">
      <alignment horizontal="right" wrapText="1"/>
    </xf>
    <xf numFmtId="0" fontId="3" fillId="0" borderId="5" xfId="1" applyFont="1" applyFill="1" applyBorder="1"/>
    <xf numFmtId="0" fontId="0" fillId="0" borderId="5" xfId="0" applyBorder="1"/>
    <xf numFmtId="0" fontId="0" fillId="0" borderId="6" xfId="0" applyBorder="1"/>
    <xf numFmtId="0" fontId="8" fillId="0" borderId="5" xfId="1" applyFont="1" applyFill="1" applyBorder="1"/>
    <xf numFmtId="164" fontId="3" fillId="0" borderId="5" xfId="1" applyNumberFormat="1" applyFont="1" applyFill="1" applyBorder="1" applyAlignment="1">
      <alignment horizontal="right" wrapText="1"/>
    </xf>
    <xf numFmtId="164" fontId="3" fillId="0" borderId="5" xfId="1" applyNumberFormat="1" applyFont="1" applyFill="1" applyBorder="1" applyAlignment="1">
      <alignment horizontal="right"/>
    </xf>
    <xf numFmtId="0" fontId="3" fillId="2" borderId="6" xfId="1" applyFont="1" applyFill="1" applyBorder="1" applyAlignment="1">
      <alignment horizontal="left" wrapText="1"/>
    </xf>
    <xf numFmtId="0" fontId="0" fillId="0" borderId="9" xfId="0" applyBorder="1"/>
    <xf numFmtId="164" fontId="4" fillId="5" borderId="1" xfId="1" applyNumberFormat="1" applyFont="1" applyFill="1" applyBorder="1" applyAlignment="1">
      <alignment horizontal="center"/>
    </xf>
    <xf numFmtId="0" fontId="4" fillId="6" borderId="1" xfId="1" applyFont="1" applyFill="1" applyBorder="1" applyAlignment="1">
      <alignment horizontal="center"/>
    </xf>
    <xf numFmtId="164" fontId="4" fillId="6" borderId="1" xfId="1" applyNumberFormat="1" applyFont="1" applyFill="1" applyBorder="1" applyAlignment="1">
      <alignment horizontal="center"/>
    </xf>
    <xf numFmtId="165" fontId="11" fillId="0" borderId="1" xfId="0" applyNumberFormat="1" applyFont="1" applyBorder="1" applyAlignment="1">
      <alignment horizontal="center"/>
    </xf>
    <xf numFmtId="0" fontId="3" fillId="0" borderId="5" xfId="1" applyFont="1" applyBorder="1" applyAlignment="1">
      <alignment horizontal="right"/>
    </xf>
    <xf numFmtId="0" fontId="12" fillId="0" borderId="5" xfId="0" applyFont="1" applyBorder="1" applyAlignment="1">
      <alignment horizontal="right"/>
    </xf>
    <xf numFmtId="0" fontId="6" fillId="3" borderId="5" xfId="1" applyFont="1" applyFill="1" applyBorder="1"/>
    <xf numFmtId="164" fontId="3" fillId="3" borderId="1" xfId="1" applyNumberFormat="1" applyFont="1" applyFill="1" applyBorder="1" applyAlignment="1">
      <alignment horizontal="center"/>
    </xf>
    <xf numFmtId="0" fontId="5" fillId="3" borderId="1" xfId="1" applyFont="1" applyFill="1" applyBorder="1" applyAlignment="1">
      <alignment horizontal="center"/>
    </xf>
    <xf numFmtId="3" fontId="5" fillId="3" borderId="1" xfId="1" applyNumberFormat="1" applyFont="1" applyFill="1" applyBorder="1" applyAlignment="1">
      <alignment horizontal="center"/>
    </xf>
    <xf numFmtId="0" fontId="13" fillId="6" borderId="1" xfId="1" applyFont="1" applyFill="1" applyBorder="1" applyAlignment="1">
      <alignment horizontal="center"/>
    </xf>
    <xf numFmtId="164" fontId="13" fillId="6" borderId="1" xfId="1" applyNumberFormat="1" applyFont="1" applyFill="1" applyBorder="1" applyAlignment="1">
      <alignment horizontal="center"/>
    </xf>
    <xf numFmtId="0" fontId="0" fillId="0" borderId="8" xfId="0" applyFill="1" applyBorder="1"/>
    <xf numFmtId="0" fontId="13" fillId="4" borderId="1" xfId="1" applyFont="1" applyFill="1" applyBorder="1" applyAlignment="1">
      <alignment horizontal="center"/>
    </xf>
    <xf numFmtId="164" fontId="13" fillId="4" borderId="1" xfId="1" applyNumberFormat="1" applyFont="1" applyFill="1" applyBorder="1" applyAlignment="1">
      <alignment horizontal="center"/>
    </xf>
    <xf numFmtId="0" fontId="3" fillId="2" borderId="12" xfId="1" applyFont="1" applyFill="1" applyBorder="1" applyAlignment="1">
      <alignment horizontal="left" wrapText="1"/>
    </xf>
    <xf numFmtId="0" fontId="13" fillId="6" borderId="1" xfId="0" applyFont="1" applyFill="1" applyBorder="1" applyAlignment="1">
      <alignment horizontal="center"/>
    </xf>
    <xf numFmtId="164" fontId="13" fillId="6" borderId="1" xfId="0" applyNumberFormat="1" applyFont="1" applyFill="1" applyBorder="1" applyAlignment="1">
      <alignment horizontal="center"/>
    </xf>
    <xf numFmtId="0" fontId="14" fillId="7" borderId="13" xfId="0" applyFont="1" applyFill="1" applyBorder="1" applyAlignment="1">
      <alignment horizontal="center"/>
    </xf>
    <xf numFmtId="164" fontId="15" fillId="7" borderId="14" xfId="0" applyNumberFormat="1" applyFont="1" applyFill="1" applyBorder="1" applyAlignment="1">
      <alignment horizontal="center"/>
    </xf>
    <xf numFmtId="164" fontId="15" fillId="7" borderId="15" xfId="0" applyNumberFormat="1" applyFont="1" applyFill="1" applyBorder="1" applyAlignment="1">
      <alignment horizontal="center"/>
    </xf>
    <xf numFmtId="0" fontId="3" fillId="0" borderId="5" xfId="1" applyFont="1" applyFill="1" applyBorder="1" applyAlignment="1">
      <alignment horizontal="left"/>
    </xf>
    <xf numFmtId="0" fontId="3" fillId="0" borderId="10" xfId="1" applyFont="1" applyFill="1" applyBorder="1" applyAlignment="1">
      <alignment horizontal="left"/>
    </xf>
    <xf numFmtId="0" fontId="3" fillId="0" borderId="11" xfId="1" applyFont="1" applyFill="1" applyBorder="1" applyAlignment="1">
      <alignment horizontal="center"/>
    </xf>
    <xf numFmtId="0" fontId="0" fillId="0" borderId="7" xfId="0" applyFill="1" applyBorder="1"/>
    <xf numFmtId="0" fontId="16" fillId="0" borderId="0" xfId="0" applyFont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0" fontId="13" fillId="4" borderId="1" xfId="1" applyFont="1" applyFill="1" applyBorder="1" applyAlignment="1">
      <alignment horizontal="left" wrapText="1"/>
    </xf>
    <xf numFmtId="165" fontId="13" fillId="4" borderId="1" xfId="1" applyNumberFormat="1" applyFont="1" applyFill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tabSelected="1" topLeftCell="A6" zoomScale="60" zoomScaleNormal="60" workbookViewId="0">
      <selection activeCell="P33" sqref="P33"/>
    </sheetView>
  </sheetViews>
  <sheetFormatPr defaultRowHeight="15" x14ac:dyDescent="0.25"/>
  <cols>
    <col min="1" max="1" width="104.85546875" bestFit="1" customWidth="1"/>
    <col min="2" max="2" width="17.140625" customWidth="1"/>
    <col min="3" max="3" width="11.85546875" customWidth="1"/>
    <col min="4" max="4" width="49.28515625" bestFit="1" customWidth="1"/>
    <col min="5" max="5" width="17" bestFit="1" customWidth="1"/>
    <col min="6" max="6" width="19.140625" customWidth="1"/>
    <col min="7" max="7" width="18.7109375" customWidth="1"/>
    <col min="8" max="8" width="27.7109375" bestFit="1" customWidth="1"/>
  </cols>
  <sheetData>
    <row r="1" spans="1:8" x14ac:dyDescent="0.25">
      <c r="A1" s="24" t="s">
        <v>0</v>
      </c>
      <c r="B1" s="25"/>
      <c r="C1" s="25"/>
      <c r="D1" s="25"/>
      <c r="E1" s="25"/>
      <c r="F1" s="25"/>
      <c r="G1" s="25"/>
      <c r="H1" s="25"/>
    </row>
    <row r="2" spans="1:8" x14ac:dyDescent="0.25">
      <c r="A2" s="24" t="s">
        <v>42</v>
      </c>
      <c r="B2" s="25"/>
      <c r="C2" s="25"/>
      <c r="D2" s="25"/>
      <c r="E2" s="25"/>
      <c r="F2" s="25"/>
      <c r="G2" s="25"/>
      <c r="H2" s="25"/>
    </row>
    <row r="3" spans="1:8" x14ac:dyDescent="0.25">
      <c r="A3" s="26"/>
      <c r="B3" s="25"/>
      <c r="C3" s="25"/>
      <c r="D3" s="25"/>
      <c r="E3" s="25"/>
      <c r="F3" s="25"/>
      <c r="G3" s="25"/>
      <c r="H3" s="25"/>
    </row>
    <row r="4" spans="1:8" ht="18.75" x14ac:dyDescent="0.3">
      <c r="A4" s="27" t="s">
        <v>23</v>
      </c>
      <c r="B4" s="25"/>
      <c r="C4" s="25"/>
      <c r="D4" s="25"/>
      <c r="E4" s="25"/>
      <c r="F4" s="25"/>
      <c r="G4" s="25"/>
      <c r="H4" s="25"/>
    </row>
    <row r="5" spans="1:8" ht="15.75" thickBot="1" x14ac:dyDescent="0.3">
      <c r="A5" s="25"/>
      <c r="B5" s="25"/>
      <c r="C5" s="25"/>
      <c r="D5" s="25"/>
      <c r="E5" s="25"/>
      <c r="F5" s="25"/>
      <c r="G5" s="25"/>
      <c r="H5" s="25"/>
    </row>
    <row r="6" spans="1:8" ht="42.75" customHeight="1" x14ac:dyDescent="0.25">
      <c r="A6" s="28" t="s">
        <v>1</v>
      </c>
      <c r="B6" s="29" t="s">
        <v>2</v>
      </c>
      <c r="C6" s="29" t="s">
        <v>3</v>
      </c>
      <c r="D6" s="29" t="s">
        <v>4</v>
      </c>
      <c r="E6" s="29" t="s">
        <v>48</v>
      </c>
      <c r="F6" s="29" t="s">
        <v>49</v>
      </c>
      <c r="G6" s="29" t="s">
        <v>50</v>
      </c>
      <c r="H6" s="30" t="s">
        <v>5</v>
      </c>
    </row>
    <row r="7" spans="1:8" ht="15.75" x14ac:dyDescent="0.25">
      <c r="A7" s="31" t="s">
        <v>15</v>
      </c>
      <c r="B7" s="18"/>
      <c r="C7" s="18"/>
      <c r="D7" s="18"/>
      <c r="E7" s="18"/>
      <c r="F7" s="18"/>
      <c r="G7" s="18"/>
      <c r="H7" s="32"/>
    </row>
    <row r="8" spans="1:8" ht="15.75" x14ac:dyDescent="0.25">
      <c r="A8" s="33" t="s">
        <v>12</v>
      </c>
      <c r="B8" s="18"/>
      <c r="C8" s="18"/>
      <c r="D8" s="18"/>
      <c r="E8" s="18"/>
      <c r="F8" s="18"/>
      <c r="G8" s="18"/>
      <c r="H8" s="32"/>
    </row>
    <row r="9" spans="1:8" s="12" customFormat="1" ht="26.25" x14ac:dyDescent="0.25">
      <c r="A9" s="34" t="s">
        <v>9</v>
      </c>
      <c r="B9" s="11">
        <f>(49.3+1.02)+(50.75*0.35)</f>
        <v>68.082499999999996</v>
      </c>
      <c r="C9" s="8" t="s">
        <v>10</v>
      </c>
      <c r="D9" s="8" t="s">
        <v>10</v>
      </c>
      <c r="E9" s="7">
        <f>B9*160</f>
        <v>10893.199999999999</v>
      </c>
      <c r="F9" s="7">
        <f>B9*80+150</f>
        <v>5596.5999999999995</v>
      </c>
      <c r="G9" s="7">
        <f>F9+120</f>
        <v>5716.5999999999995</v>
      </c>
      <c r="H9" s="35" t="s">
        <v>20</v>
      </c>
    </row>
    <row r="10" spans="1:8" s="12" customFormat="1" ht="26.25" x14ac:dyDescent="0.25">
      <c r="A10" s="34" t="s">
        <v>11</v>
      </c>
      <c r="B10" s="11">
        <f>(42.68+0.9)+(43.58*0.35)</f>
        <v>58.832999999999998</v>
      </c>
      <c r="C10" s="8" t="s">
        <v>10</v>
      </c>
      <c r="D10" s="8" t="s">
        <v>10</v>
      </c>
      <c r="E10" s="7">
        <f>B10*240</f>
        <v>14119.92</v>
      </c>
      <c r="F10" s="7">
        <f>B10*120+170</f>
        <v>7229.96</v>
      </c>
      <c r="G10" s="7">
        <f>F10+150</f>
        <v>7379.96</v>
      </c>
      <c r="H10" s="35" t="s">
        <v>21</v>
      </c>
    </row>
    <row r="11" spans="1:8" s="12" customFormat="1" ht="34.5" customHeight="1" x14ac:dyDescent="0.25">
      <c r="A11" s="34" t="s">
        <v>11</v>
      </c>
      <c r="B11" s="11">
        <f>(42.68+0.9)+(43.58*0.35)</f>
        <v>58.832999999999998</v>
      </c>
      <c r="C11" s="8" t="s">
        <v>10</v>
      </c>
      <c r="D11" s="8" t="s">
        <v>10</v>
      </c>
      <c r="E11" s="7">
        <f>B11*200</f>
        <v>11766.6</v>
      </c>
      <c r="F11" s="7">
        <f>B11*80+150</f>
        <v>4856.6399999999994</v>
      </c>
      <c r="G11" s="7">
        <f>F11+100</f>
        <v>4956.6399999999994</v>
      </c>
      <c r="H11" s="35" t="s">
        <v>21</v>
      </c>
    </row>
    <row r="12" spans="1:8" s="12" customFormat="1" ht="26.25" x14ac:dyDescent="0.25">
      <c r="A12" s="34" t="s">
        <v>11</v>
      </c>
      <c r="B12" s="11">
        <f>(35.6+0.71)+(36.31*0.35)</f>
        <v>49.018500000000003</v>
      </c>
      <c r="C12" s="8" t="s">
        <v>10</v>
      </c>
      <c r="D12" s="8" t="s">
        <v>10</v>
      </c>
      <c r="E12" s="7">
        <f>B12*200</f>
        <v>9803.7000000000007</v>
      </c>
      <c r="F12" s="7">
        <f>B12*120+120</f>
        <v>6002.22</v>
      </c>
      <c r="G12" s="7">
        <f>F12+120</f>
        <v>6122.22</v>
      </c>
      <c r="H12" s="35" t="s">
        <v>22</v>
      </c>
    </row>
    <row r="13" spans="1:8" s="12" customFormat="1" x14ac:dyDescent="0.25">
      <c r="A13" s="34"/>
      <c r="B13" s="11"/>
      <c r="C13" s="8"/>
      <c r="D13" s="16" t="s">
        <v>17</v>
      </c>
      <c r="E13" s="17">
        <f>SUM(E9:E12)</f>
        <v>46583.42</v>
      </c>
      <c r="F13" s="17">
        <f t="shared" ref="F13:G13" si="0">SUM(F9:F12)</f>
        <v>23685.42</v>
      </c>
      <c r="G13" s="17">
        <f t="shared" si="0"/>
        <v>24175.42</v>
      </c>
      <c r="H13" s="35"/>
    </row>
    <row r="14" spans="1:8" s="12" customFormat="1" ht="15.75" x14ac:dyDescent="0.25">
      <c r="A14" s="36" t="s">
        <v>14</v>
      </c>
      <c r="B14" s="13"/>
      <c r="C14" s="14"/>
      <c r="D14" s="14"/>
      <c r="E14" s="15"/>
      <c r="F14" s="15"/>
      <c r="G14" s="15"/>
      <c r="H14" s="37"/>
    </row>
    <row r="15" spans="1:8" s="12" customFormat="1" x14ac:dyDescent="0.25">
      <c r="A15" s="38" t="s">
        <v>6</v>
      </c>
      <c r="B15" s="11" t="s">
        <v>10</v>
      </c>
      <c r="C15" s="8" t="s">
        <v>10</v>
      </c>
      <c r="D15" s="8" t="s">
        <v>10</v>
      </c>
      <c r="E15" s="7">
        <v>9000</v>
      </c>
      <c r="F15" s="7">
        <f>E15/2</f>
        <v>4500</v>
      </c>
      <c r="G15" s="7">
        <v>5000</v>
      </c>
      <c r="H15" s="39"/>
    </row>
    <row r="16" spans="1:8" s="12" customFormat="1" x14ac:dyDescent="0.25">
      <c r="A16" s="38" t="s">
        <v>13</v>
      </c>
      <c r="B16" s="11" t="s">
        <v>10</v>
      </c>
      <c r="C16" s="8" t="s">
        <v>10</v>
      </c>
      <c r="D16" s="8" t="s">
        <v>10</v>
      </c>
      <c r="E16" s="7">
        <v>7500</v>
      </c>
      <c r="F16" s="7">
        <f t="shared" ref="F16:F17" si="1">E16/2</f>
        <v>3750</v>
      </c>
      <c r="G16" s="7">
        <v>4000</v>
      </c>
      <c r="H16" s="39"/>
    </row>
    <row r="17" spans="1:8" s="12" customFormat="1" x14ac:dyDescent="0.25">
      <c r="A17" s="38" t="s">
        <v>13</v>
      </c>
      <c r="B17" s="11" t="s">
        <v>10</v>
      </c>
      <c r="C17" s="8" t="s">
        <v>10</v>
      </c>
      <c r="D17" s="8" t="s">
        <v>10</v>
      </c>
      <c r="E17" s="7">
        <v>7500</v>
      </c>
      <c r="F17" s="7">
        <f t="shared" si="1"/>
        <v>3750</v>
      </c>
      <c r="G17" s="7">
        <v>4000</v>
      </c>
      <c r="H17" s="39"/>
    </row>
    <row r="18" spans="1:8" s="12" customFormat="1" x14ac:dyDescent="0.25">
      <c r="A18" s="38"/>
      <c r="B18" s="11"/>
      <c r="C18" s="8"/>
      <c r="D18" s="16" t="s">
        <v>18</v>
      </c>
      <c r="E18" s="17">
        <f>SUM(E15:E17)</f>
        <v>24000</v>
      </c>
      <c r="F18" s="17">
        <f t="shared" ref="F18:G18" si="2">SUM(F15:F17)</f>
        <v>12000</v>
      </c>
      <c r="G18" s="17">
        <f t="shared" si="2"/>
        <v>13000</v>
      </c>
      <c r="H18" s="39"/>
    </row>
    <row r="19" spans="1:8" ht="15.75" customHeight="1" x14ac:dyDescent="0.25">
      <c r="A19" s="40"/>
      <c r="B19" s="5"/>
      <c r="C19" s="1"/>
      <c r="D19" s="6" t="s">
        <v>16</v>
      </c>
      <c r="E19" s="53">
        <f>E18+E13</f>
        <v>70583.42</v>
      </c>
      <c r="F19" s="53">
        <f>F18+F13</f>
        <v>35685.42</v>
      </c>
      <c r="G19" s="53">
        <f>G18+G13</f>
        <v>37175.42</v>
      </c>
      <c r="H19" s="41"/>
    </row>
    <row r="20" spans="1:8" ht="15.75" customHeight="1" x14ac:dyDescent="0.25">
      <c r="A20" s="42"/>
      <c r="B20" s="21"/>
      <c r="C20" s="19"/>
      <c r="D20" s="22"/>
      <c r="E20" s="23"/>
      <c r="F20" s="23"/>
      <c r="G20" s="23"/>
      <c r="H20" s="37"/>
    </row>
    <row r="21" spans="1:8" ht="15.75" customHeight="1" x14ac:dyDescent="0.25">
      <c r="A21" s="43" t="s">
        <v>7</v>
      </c>
      <c r="B21" s="60"/>
      <c r="C21" s="19"/>
      <c r="D21" s="19"/>
      <c r="E21" s="20"/>
      <c r="F21" s="20"/>
      <c r="G21" s="20"/>
      <c r="H21" s="37"/>
    </row>
    <row r="22" spans="1:8" ht="15.75" customHeight="1" x14ac:dyDescent="0.25">
      <c r="A22" s="33" t="s">
        <v>12</v>
      </c>
      <c r="B22" s="21"/>
      <c r="C22" s="19"/>
      <c r="D22" s="19"/>
      <c r="E22" s="20"/>
      <c r="F22" s="20"/>
      <c r="G22" s="20"/>
      <c r="H22" s="37"/>
    </row>
    <row r="23" spans="1:8" ht="15.75" customHeight="1" x14ac:dyDescent="0.25">
      <c r="A23" s="34" t="s">
        <v>9</v>
      </c>
      <c r="B23" s="11">
        <f>(49.3+1.02)+(50.75*0.35)</f>
        <v>68.082499999999996</v>
      </c>
      <c r="C23" s="8" t="s">
        <v>10</v>
      </c>
      <c r="D23" s="8" t="s">
        <v>10</v>
      </c>
      <c r="E23" s="7">
        <f>B23*120</f>
        <v>8169.9</v>
      </c>
      <c r="F23" s="7">
        <f>B23*60+100</f>
        <v>4184.95</v>
      </c>
      <c r="G23" s="7">
        <f>F23+90</f>
        <v>4274.95</v>
      </c>
      <c r="H23" s="35"/>
    </row>
    <row r="24" spans="1:8" x14ac:dyDescent="0.25">
      <c r="A24" s="34" t="s">
        <v>11</v>
      </c>
      <c r="B24" s="11">
        <f>(42.68+0.9)+(43.58*0.35)</f>
        <v>58.832999999999998</v>
      </c>
      <c r="C24" s="8" t="s">
        <v>10</v>
      </c>
      <c r="D24" s="8" t="s">
        <v>10</v>
      </c>
      <c r="E24" s="7">
        <f>B24*120</f>
        <v>7059.96</v>
      </c>
      <c r="F24" s="7">
        <f>B24*80+90</f>
        <v>4796.6399999999994</v>
      </c>
      <c r="G24" s="7">
        <f>F24+90</f>
        <v>4886.6399999999994</v>
      </c>
      <c r="H24" s="35"/>
    </row>
    <row r="25" spans="1:8" x14ac:dyDescent="0.25">
      <c r="A25" s="38"/>
      <c r="B25" s="11"/>
      <c r="C25" s="8"/>
      <c r="D25" s="16" t="s">
        <v>17</v>
      </c>
      <c r="E25" s="17">
        <f>SUM(E23:E24)</f>
        <v>15229.86</v>
      </c>
      <c r="F25" s="17">
        <f>SUM(F23:F24)</f>
        <v>8981.59</v>
      </c>
      <c r="G25" s="17">
        <f t="shared" ref="G25" si="3">SUM(G21:G24)</f>
        <v>9161.59</v>
      </c>
      <c r="H25" s="35"/>
    </row>
    <row r="26" spans="1:8" ht="15.75" x14ac:dyDescent="0.25">
      <c r="A26" s="36" t="s">
        <v>14</v>
      </c>
      <c r="B26" s="13"/>
      <c r="C26" s="14"/>
      <c r="D26" s="19"/>
      <c r="E26" s="20"/>
      <c r="F26" s="20"/>
      <c r="G26" s="20"/>
      <c r="H26" s="37"/>
    </row>
    <row r="27" spans="1:8" x14ac:dyDescent="0.25">
      <c r="A27" s="38" t="s">
        <v>6</v>
      </c>
      <c r="B27" s="11" t="s">
        <v>10</v>
      </c>
      <c r="C27" s="8" t="s">
        <v>10</v>
      </c>
      <c r="D27" s="3" t="s">
        <v>10</v>
      </c>
      <c r="E27" s="9"/>
      <c r="F27" s="9"/>
      <c r="G27" s="9"/>
      <c r="H27" s="35"/>
    </row>
    <row r="28" spans="1:8" x14ac:dyDescent="0.25">
      <c r="A28" s="38"/>
      <c r="B28" s="11"/>
      <c r="C28" s="8"/>
      <c r="D28" s="16" t="s">
        <v>18</v>
      </c>
      <c r="E28" s="17">
        <f>7000</f>
        <v>7000</v>
      </c>
      <c r="F28" s="17">
        <v>3500</v>
      </c>
      <c r="G28" s="17">
        <v>3500</v>
      </c>
      <c r="H28" s="35"/>
    </row>
    <row r="29" spans="1:8" x14ac:dyDescent="0.25">
      <c r="A29" s="38"/>
      <c r="B29" s="11"/>
      <c r="C29" s="8"/>
      <c r="D29" s="6" t="s">
        <v>19</v>
      </c>
      <c r="E29" s="53">
        <f>E28+E25</f>
        <v>22229.86</v>
      </c>
      <c r="F29" s="53">
        <f>F28+F25</f>
        <v>12481.59</v>
      </c>
      <c r="G29" s="53">
        <f>G28+G25</f>
        <v>12661.59</v>
      </c>
      <c r="H29" s="35"/>
    </row>
    <row r="30" spans="1:8" x14ac:dyDescent="0.25">
      <c r="A30" s="38"/>
      <c r="B30" s="11"/>
      <c r="C30" s="8"/>
      <c r="D30" s="54" t="s">
        <v>24</v>
      </c>
      <c r="E30" s="55">
        <f>E29+E19</f>
        <v>92813.28</v>
      </c>
      <c r="F30" s="55">
        <f>F29+F19</f>
        <v>48167.009999999995</v>
      </c>
      <c r="G30" s="55">
        <f>G29+G19</f>
        <v>49837.009999999995</v>
      </c>
      <c r="H30" s="35"/>
    </row>
    <row r="31" spans="1:8" x14ac:dyDescent="0.25">
      <c r="A31" s="44"/>
      <c r="B31" s="13"/>
      <c r="C31" s="14"/>
      <c r="D31" s="19"/>
      <c r="E31" s="20"/>
      <c r="F31" s="20"/>
      <c r="G31" s="20"/>
      <c r="H31" s="37"/>
    </row>
    <row r="32" spans="1:8" ht="15.75" x14ac:dyDescent="0.25">
      <c r="A32" s="43" t="s">
        <v>25</v>
      </c>
      <c r="B32" s="60"/>
      <c r="C32" s="19"/>
      <c r="D32" s="19"/>
      <c r="E32" s="20"/>
      <c r="F32" s="20"/>
      <c r="G32" s="20"/>
      <c r="H32" s="37"/>
    </row>
    <row r="33" spans="1:8" ht="15.75" x14ac:dyDescent="0.25">
      <c r="A33" s="78" t="s">
        <v>12</v>
      </c>
      <c r="B33" s="60"/>
      <c r="C33" s="19"/>
      <c r="D33" s="22"/>
      <c r="E33" s="23"/>
      <c r="F33" s="23"/>
      <c r="G33" s="23"/>
      <c r="H33" s="37"/>
    </row>
    <row r="34" spans="1:8" x14ac:dyDescent="0.25">
      <c r="A34" s="34" t="s">
        <v>57</v>
      </c>
      <c r="B34" s="4">
        <v>310</v>
      </c>
      <c r="C34" s="8" t="s">
        <v>10</v>
      </c>
      <c r="D34" s="3" t="s">
        <v>39</v>
      </c>
      <c r="E34" s="2">
        <f>B34*8</f>
        <v>2480</v>
      </c>
      <c r="F34" s="2">
        <f>B34*4</f>
        <v>1240</v>
      </c>
      <c r="G34" s="2">
        <f>B34*4</f>
        <v>1240</v>
      </c>
      <c r="H34" s="35" t="s">
        <v>54</v>
      </c>
    </row>
    <row r="35" spans="1:8" x14ac:dyDescent="0.25">
      <c r="A35" s="34" t="s">
        <v>58</v>
      </c>
      <c r="B35" s="4">
        <v>50</v>
      </c>
      <c r="C35" s="8" t="s">
        <v>10</v>
      </c>
      <c r="D35" s="3" t="s">
        <v>59</v>
      </c>
      <c r="E35" s="2">
        <f>B35*8</f>
        <v>400</v>
      </c>
      <c r="F35" s="2">
        <v>200</v>
      </c>
      <c r="G35" s="2">
        <v>200</v>
      </c>
      <c r="H35" s="35"/>
    </row>
    <row r="36" spans="1:8" x14ac:dyDescent="0.25">
      <c r="A36" s="57" t="s">
        <v>26</v>
      </c>
      <c r="B36" s="4">
        <v>250</v>
      </c>
      <c r="C36" s="8" t="s">
        <v>10</v>
      </c>
      <c r="D36" s="3" t="s">
        <v>38</v>
      </c>
      <c r="E36" s="2">
        <f>250*4*4</f>
        <v>4000</v>
      </c>
      <c r="F36" s="2">
        <f>B36*2*4</f>
        <v>2000</v>
      </c>
      <c r="G36" s="2">
        <v>2000</v>
      </c>
      <c r="H36" s="35" t="s">
        <v>55</v>
      </c>
    </row>
    <row r="37" spans="1:8" x14ac:dyDescent="0.25">
      <c r="A37" s="34" t="s">
        <v>27</v>
      </c>
      <c r="B37" s="4">
        <v>74</v>
      </c>
      <c r="C37" s="8" t="s">
        <v>10</v>
      </c>
      <c r="D37" s="3" t="s">
        <v>41</v>
      </c>
      <c r="E37" s="2">
        <f>(55.5*8)+(41.25*56)</f>
        <v>2754</v>
      </c>
      <c r="F37" s="2">
        <f>(55.5*4)+(41.25*20)</f>
        <v>1047</v>
      </c>
      <c r="G37" s="2">
        <f>(55.5*4)+(41.25*20)</f>
        <v>1047</v>
      </c>
      <c r="H37" s="35" t="s">
        <v>56</v>
      </c>
    </row>
    <row r="38" spans="1:8" x14ac:dyDescent="0.25">
      <c r="A38" s="58" t="s">
        <v>28</v>
      </c>
      <c r="B38" s="56">
        <v>25</v>
      </c>
      <c r="C38" s="8" t="s">
        <v>10</v>
      </c>
      <c r="D38" s="8" t="s">
        <v>10</v>
      </c>
      <c r="E38" s="79">
        <f>B38*16</f>
        <v>400</v>
      </c>
      <c r="F38" s="79">
        <f>B38*12</f>
        <v>300</v>
      </c>
      <c r="G38" s="79">
        <f>B38*12</f>
        <v>300</v>
      </c>
      <c r="H38" s="47"/>
    </row>
    <row r="39" spans="1:8" x14ac:dyDescent="0.25">
      <c r="A39" s="58" t="s">
        <v>8</v>
      </c>
      <c r="B39" s="56" t="s">
        <v>10</v>
      </c>
      <c r="C39" s="8" t="s">
        <v>10</v>
      </c>
      <c r="D39" s="8" t="s">
        <v>10</v>
      </c>
      <c r="E39" s="79">
        <v>50</v>
      </c>
      <c r="F39" s="79">
        <v>50</v>
      </c>
      <c r="G39" s="79">
        <v>50</v>
      </c>
      <c r="H39" s="47"/>
    </row>
    <row r="40" spans="1:8" x14ac:dyDescent="0.25">
      <c r="A40" s="58" t="s">
        <v>29</v>
      </c>
      <c r="B40" s="56">
        <v>10</v>
      </c>
      <c r="C40" s="8" t="s">
        <v>10</v>
      </c>
      <c r="D40" s="8" t="s">
        <v>10</v>
      </c>
      <c r="E40" s="79">
        <f>B40*32</f>
        <v>320</v>
      </c>
      <c r="F40" s="79">
        <f>B40*12</f>
        <v>120</v>
      </c>
      <c r="G40" s="79">
        <v>120</v>
      </c>
      <c r="H40" s="47"/>
    </row>
    <row r="41" spans="1:8" x14ac:dyDescent="0.25">
      <c r="A41" s="46"/>
      <c r="B41" s="10"/>
      <c r="C41" s="10"/>
      <c r="D41" s="54" t="s">
        <v>40</v>
      </c>
      <c r="E41" s="55">
        <f>SUM(E34:E40)</f>
        <v>10404</v>
      </c>
      <c r="F41" s="55">
        <f>SUM(F34:F40)</f>
        <v>4957</v>
      </c>
      <c r="G41" s="55">
        <f>SUM(G34:G40)</f>
        <v>4957</v>
      </c>
      <c r="H41" s="47"/>
    </row>
    <row r="42" spans="1:8" x14ac:dyDescent="0.25">
      <c r="A42" s="59"/>
      <c r="B42" s="60"/>
      <c r="C42" s="19"/>
      <c r="D42" s="19"/>
      <c r="E42" s="20"/>
      <c r="F42" s="20"/>
      <c r="G42" s="20"/>
      <c r="H42" s="37"/>
    </row>
    <row r="43" spans="1:8" ht="15.75" x14ac:dyDescent="0.25">
      <c r="A43" s="43" t="s">
        <v>62</v>
      </c>
      <c r="B43" s="60"/>
      <c r="C43" s="19"/>
      <c r="D43" s="22"/>
      <c r="E43" s="23"/>
      <c r="F43" s="23"/>
      <c r="G43" s="23"/>
      <c r="H43" s="37"/>
    </row>
    <row r="44" spans="1:8" ht="15.75" x14ac:dyDescent="0.25">
      <c r="A44" s="33" t="s">
        <v>12</v>
      </c>
      <c r="B44" s="60"/>
      <c r="C44" s="19"/>
      <c r="D44" s="22"/>
      <c r="E44" s="23"/>
      <c r="F44" s="23"/>
      <c r="G44" s="23"/>
      <c r="H44" s="37"/>
    </row>
    <row r="45" spans="1:8" x14ac:dyDescent="0.25">
      <c r="A45" s="34" t="s">
        <v>30</v>
      </c>
      <c r="B45" s="2">
        <v>270</v>
      </c>
      <c r="C45" s="3" t="s">
        <v>10</v>
      </c>
      <c r="D45" s="4" t="s">
        <v>43</v>
      </c>
      <c r="E45" s="2">
        <f>B45*200</f>
        <v>54000</v>
      </c>
      <c r="F45" s="2">
        <f>B45*100</f>
        <v>27000</v>
      </c>
      <c r="G45" s="2">
        <f>B45*100</f>
        <v>27000</v>
      </c>
      <c r="H45" s="35"/>
    </row>
    <row r="46" spans="1:8" x14ac:dyDescent="0.25">
      <c r="A46" s="34" t="s">
        <v>31</v>
      </c>
      <c r="B46" s="2">
        <v>5000</v>
      </c>
      <c r="C46" s="3">
        <v>1</v>
      </c>
      <c r="D46" s="4"/>
      <c r="E46" s="2">
        <v>5000</v>
      </c>
      <c r="F46" s="2">
        <v>0</v>
      </c>
      <c r="G46" s="2">
        <v>0</v>
      </c>
      <c r="H46" s="35"/>
    </row>
    <row r="47" spans="1:8" x14ac:dyDescent="0.25">
      <c r="A47" s="34" t="s">
        <v>32</v>
      </c>
      <c r="B47" s="2">
        <v>5000</v>
      </c>
      <c r="C47" s="3">
        <v>1</v>
      </c>
      <c r="D47" s="4"/>
      <c r="E47" s="2">
        <v>5000</v>
      </c>
      <c r="F47" s="2">
        <v>0</v>
      </c>
      <c r="G47" s="2">
        <v>0</v>
      </c>
      <c r="H47" s="35"/>
    </row>
    <row r="48" spans="1:8" x14ac:dyDescent="0.25">
      <c r="A48" s="34" t="s">
        <v>33</v>
      </c>
      <c r="B48" s="2">
        <v>10000</v>
      </c>
      <c r="C48" s="3">
        <v>2</v>
      </c>
      <c r="D48" s="4"/>
      <c r="E48" s="2">
        <v>10000</v>
      </c>
      <c r="F48" s="2">
        <v>0</v>
      </c>
      <c r="G48" s="2">
        <v>0</v>
      </c>
      <c r="H48" s="35"/>
    </row>
    <row r="49" spans="1:8" x14ac:dyDescent="0.25">
      <c r="A49" s="34" t="s">
        <v>34</v>
      </c>
      <c r="B49" s="2">
        <v>100</v>
      </c>
      <c r="C49" s="3">
        <v>30</v>
      </c>
      <c r="D49" s="4"/>
      <c r="E49" s="2">
        <f>B49*C49</f>
        <v>3000</v>
      </c>
      <c r="F49" s="2">
        <f>E49/2</f>
        <v>1500</v>
      </c>
      <c r="G49" s="2">
        <f>F49/2</f>
        <v>750</v>
      </c>
      <c r="H49" s="35"/>
    </row>
    <row r="50" spans="1:8" x14ac:dyDescent="0.25">
      <c r="A50" s="34" t="s">
        <v>35</v>
      </c>
      <c r="B50" s="2">
        <v>100</v>
      </c>
      <c r="C50" s="3">
        <v>50</v>
      </c>
      <c r="D50" s="4"/>
      <c r="E50" s="2">
        <f t="shared" ref="E50:E51" si="4">B50*C50</f>
        <v>5000</v>
      </c>
      <c r="F50" s="2">
        <f t="shared" ref="F50:G50" si="5">E50/2</f>
        <v>2500</v>
      </c>
      <c r="G50" s="2">
        <f t="shared" si="5"/>
        <v>1250</v>
      </c>
      <c r="H50" s="35"/>
    </row>
    <row r="51" spans="1:8" x14ac:dyDescent="0.25">
      <c r="A51" s="34" t="s">
        <v>36</v>
      </c>
      <c r="B51" s="2">
        <v>100</v>
      </c>
      <c r="C51" s="3">
        <v>10</v>
      </c>
      <c r="D51" s="4"/>
      <c r="E51" s="2">
        <f t="shared" si="4"/>
        <v>1000</v>
      </c>
      <c r="F51" s="2">
        <v>0</v>
      </c>
      <c r="G51" s="2">
        <v>0</v>
      </c>
      <c r="H51" s="35"/>
    </row>
    <row r="52" spans="1:8" x14ac:dyDescent="0.25">
      <c r="A52" s="42"/>
      <c r="B52" s="60"/>
      <c r="C52" s="19"/>
      <c r="D52" s="54" t="s">
        <v>63</v>
      </c>
      <c r="E52" s="55">
        <f>SUM(E45:E51)</f>
        <v>83000</v>
      </c>
      <c r="F52" s="55">
        <f>SUM(F45:F51)</f>
        <v>31000</v>
      </c>
      <c r="G52" s="55">
        <f>SUM(G45:G51)</f>
        <v>29000</v>
      </c>
      <c r="H52" s="35"/>
    </row>
    <row r="53" spans="1:8" x14ac:dyDescent="0.25">
      <c r="A53" s="45"/>
      <c r="B53" s="60"/>
      <c r="C53" s="19"/>
      <c r="D53" s="22"/>
      <c r="E53" s="23"/>
      <c r="F53" s="23"/>
      <c r="G53" s="23"/>
      <c r="H53" s="37"/>
    </row>
    <row r="54" spans="1:8" x14ac:dyDescent="0.25">
      <c r="A54" s="45"/>
      <c r="B54" s="60"/>
      <c r="C54" s="19"/>
      <c r="D54" s="22"/>
      <c r="E54" s="23"/>
      <c r="F54" s="23"/>
      <c r="G54" s="23"/>
      <c r="H54" s="37"/>
    </row>
    <row r="55" spans="1:8" ht="15.75" x14ac:dyDescent="0.25">
      <c r="A55" s="48" t="s">
        <v>37</v>
      </c>
      <c r="B55" s="60"/>
      <c r="C55" s="19"/>
      <c r="D55" s="19"/>
      <c r="E55" s="20"/>
      <c r="F55" s="20"/>
      <c r="G55" s="20"/>
      <c r="H55" s="37"/>
    </row>
    <row r="56" spans="1:8" x14ac:dyDescent="0.25">
      <c r="A56" s="38" t="s">
        <v>44</v>
      </c>
      <c r="B56" s="2" t="s">
        <v>10</v>
      </c>
      <c r="C56" s="3" t="s">
        <v>10</v>
      </c>
      <c r="D56" s="3" t="s">
        <v>10</v>
      </c>
      <c r="E56" s="2">
        <v>1000</v>
      </c>
      <c r="F56" s="2">
        <v>750</v>
      </c>
      <c r="G56" s="2">
        <v>750</v>
      </c>
      <c r="H56" s="35"/>
    </row>
    <row r="57" spans="1:8" x14ac:dyDescent="0.25">
      <c r="A57" s="38" t="s">
        <v>45</v>
      </c>
      <c r="B57" s="2" t="s">
        <v>10</v>
      </c>
      <c r="C57" s="3" t="s">
        <v>10</v>
      </c>
      <c r="D57" s="3" t="s">
        <v>10</v>
      </c>
      <c r="E57" s="2">
        <v>250</v>
      </c>
      <c r="F57" s="2">
        <v>100</v>
      </c>
      <c r="G57" s="2">
        <v>100</v>
      </c>
      <c r="H57" s="35"/>
    </row>
    <row r="58" spans="1:8" x14ac:dyDescent="0.25">
      <c r="A58" s="38" t="s">
        <v>46</v>
      </c>
      <c r="B58" s="2" t="s">
        <v>10</v>
      </c>
      <c r="C58" s="3" t="s">
        <v>10</v>
      </c>
      <c r="D58" s="3" t="s">
        <v>10</v>
      </c>
      <c r="E58" s="2">
        <v>1000</v>
      </c>
      <c r="F58" s="2">
        <v>500</v>
      </c>
      <c r="G58" s="2">
        <v>500</v>
      </c>
      <c r="H58" s="35"/>
    </row>
    <row r="59" spans="1:8" x14ac:dyDescent="0.25">
      <c r="A59" s="34"/>
      <c r="B59" s="2"/>
      <c r="C59" s="3"/>
      <c r="D59" s="54" t="s">
        <v>47</v>
      </c>
      <c r="E59" s="55">
        <f>SUM(E56:E58)</f>
        <v>2250</v>
      </c>
      <c r="F59" s="55">
        <f>SUM(F56:F58)</f>
        <v>1350</v>
      </c>
      <c r="G59" s="55">
        <f>SUM(G56:G58)</f>
        <v>1350</v>
      </c>
      <c r="H59" s="35"/>
    </row>
    <row r="60" spans="1:8" x14ac:dyDescent="0.25">
      <c r="A60" s="34"/>
      <c r="B60" s="2"/>
      <c r="C60" s="3"/>
      <c r="D60" s="61"/>
      <c r="E60" s="62"/>
      <c r="F60" s="62"/>
      <c r="G60" s="62"/>
      <c r="H60" s="37"/>
    </row>
    <row r="61" spans="1:8" ht="15.75" x14ac:dyDescent="0.25">
      <c r="A61" s="34"/>
      <c r="B61" s="2"/>
      <c r="C61" s="3"/>
      <c r="D61" s="63" t="s">
        <v>60</v>
      </c>
      <c r="E61" s="64">
        <f>E59+E52+E41+E30</f>
        <v>188467.28</v>
      </c>
      <c r="F61" s="64">
        <f>F59+F52+F41+F30</f>
        <v>85474.01</v>
      </c>
      <c r="G61" s="64">
        <f>G59+G52+G41+G30</f>
        <v>85144.01</v>
      </c>
      <c r="H61" s="35"/>
    </row>
    <row r="62" spans="1:8" ht="36" customHeight="1" x14ac:dyDescent="0.25">
      <c r="A62" s="49"/>
      <c r="B62" s="7"/>
      <c r="C62" s="8"/>
      <c r="D62" s="80" t="s">
        <v>64</v>
      </c>
      <c r="E62" s="81">
        <f>0.28*(SUM(E13,E25,E41,E52,E59))</f>
        <v>44090.838400000001</v>
      </c>
      <c r="F62" s="81">
        <f t="shared" ref="F62:G62" si="6">0.28*(SUM(F13,F25,F41,F52,F59))</f>
        <v>19592.7228</v>
      </c>
      <c r="G62" s="81">
        <f t="shared" si="6"/>
        <v>19220.322800000002</v>
      </c>
      <c r="H62" s="35"/>
    </row>
    <row r="63" spans="1:8" ht="15.75" x14ac:dyDescent="0.25">
      <c r="A63" s="50"/>
      <c r="B63" s="2"/>
      <c r="C63" s="3"/>
      <c r="D63" s="66" t="s">
        <v>51</v>
      </c>
      <c r="E63" s="67">
        <f>0.35*(E18+E28)</f>
        <v>10850</v>
      </c>
      <c r="F63" s="67">
        <f t="shared" ref="F63:G63" si="7">0.35*(F18+F28)</f>
        <v>5425</v>
      </c>
      <c r="G63" s="67">
        <f t="shared" si="7"/>
        <v>5775</v>
      </c>
      <c r="H63" s="35"/>
    </row>
    <row r="64" spans="1:8" ht="15.75" x14ac:dyDescent="0.25">
      <c r="A64" s="74"/>
      <c r="B64" s="3"/>
      <c r="C64" s="3"/>
      <c r="D64" s="63" t="s">
        <v>52</v>
      </c>
      <c r="E64" s="64">
        <f>SUM(E13,E25,E41,E52,E59,E62)</f>
        <v>201558.11840000001</v>
      </c>
      <c r="F64" s="64">
        <f>SUM(F13,F25,F41,F52,F59,F62)</f>
        <v>89566.732799999998</v>
      </c>
      <c r="G64" s="64">
        <f>SUM(G13,G25,G41,G52,G59,G62)</f>
        <v>87864.332800000004</v>
      </c>
      <c r="H64" s="51"/>
    </row>
    <row r="65" spans="1:8" ht="15.75" x14ac:dyDescent="0.25">
      <c r="A65" s="75"/>
      <c r="B65" s="76"/>
      <c r="C65" s="76"/>
      <c r="D65" s="69" t="s">
        <v>53</v>
      </c>
      <c r="E65" s="70">
        <f>SUM(E18,E28,E63)</f>
        <v>41850</v>
      </c>
      <c r="F65" s="70">
        <f>SUM(F18,F28,F63)</f>
        <v>20925</v>
      </c>
      <c r="G65" s="70">
        <f>SUM(G18,G28,G63)</f>
        <v>22275</v>
      </c>
      <c r="H65" s="68"/>
    </row>
    <row r="66" spans="1:8" ht="21.75" thickBot="1" x14ac:dyDescent="0.4">
      <c r="A66" s="77"/>
      <c r="B66" s="65"/>
      <c r="C66" s="65"/>
      <c r="D66" s="71" t="s">
        <v>61</v>
      </c>
      <c r="E66" s="72">
        <f>E64+E65</f>
        <v>243408.11840000001</v>
      </c>
      <c r="F66" s="72">
        <f t="shared" ref="F66:G66" si="8">F64+F65</f>
        <v>110491.7328</v>
      </c>
      <c r="G66" s="73">
        <f t="shared" si="8"/>
        <v>110139.3328</v>
      </c>
      <c r="H66" s="52"/>
    </row>
    <row r="70" spans="1:8" ht="15.75" customHeight="1" x14ac:dyDescent="0.25"/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DD41E5DE9D9E43B625B7CF9A5F215D" ma:contentTypeVersion="23" ma:contentTypeDescription="Create a new document." ma:contentTypeScope="" ma:versionID="21fedb4235fd11ddedd8560a968c90de">
  <xsd:schema xmlns:xsd="http://www.w3.org/2001/XMLSchema" xmlns:xs="http://www.w3.org/2001/XMLSchema" xmlns:p="http://schemas.microsoft.com/office/2006/metadata/properties" xmlns:ns1="http://schemas.microsoft.com/sharepoint/v3" xmlns:ns2="2b8eca42-bbaa-4602-a2b4-1626cec75391" xmlns:ns3="73e730c6-7d16-4a80-8d56-95fe64f6fbb0" xmlns:ns4="31062a0d-ede8-4112-b4bb-00a9c1bc8e16" targetNamespace="http://schemas.microsoft.com/office/2006/metadata/properties" ma:root="true" ma:fieldsID="09c40e5dfb9f7ecbb72bbd5c7ea417ad" ns1:_="" ns2:_="" ns3:_="" ns4:_="">
    <xsd:import namespace="http://schemas.microsoft.com/sharepoint/v3"/>
    <xsd:import namespace="2b8eca42-bbaa-4602-a2b4-1626cec75391"/>
    <xsd:import namespace="73e730c6-7d16-4a80-8d56-95fe64f6fbb0"/>
    <xsd:import namespace="31062a0d-ede8-4112-b4bb-00a9c1bc8e1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1:_ip_UnifiedCompliancePolicyProperties" minOccurs="0"/>
                <xsd:element ref="ns1:_ip_UnifiedCompliancePolicyUIAction" minOccurs="0"/>
                <xsd:element ref="ns3:Notes2" minOccurs="0"/>
                <xsd:element ref="ns3:lcf76f155ced4ddcb4097134ff3c332f" minOccurs="0"/>
                <xsd:element ref="ns4:TaxCatchAll" minOccurs="0"/>
                <xsd:element ref="ns3:MediaLengthInSeconds" minOccurs="0"/>
                <xsd:element ref="ns3:ReviewedBy" minOccurs="0"/>
                <xsd:element ref="ns3:PotentialExemption" minOccurs="0"/>
                <xsd:element ref="ns3:Notes" minOccurs="0"/>
                <xsd:element ref="ns3:SenttoFOIACoordinator_x003f_" minOccurs="0"/>
                <xsd:element ref="ns3: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eca42-bbaa-4602-a2b4-1626cec753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e730c6-7d16-4a80-8d56-95fe64f6fb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Notes2" ma:index="21" nillable="true" ma:displayName="Reviewed?" ma:default="No" ma:description="Notes about files" ma:format="Dropdown" ma:internalName="Notes2">
      <xsd:simpleType>
        <xsd:restriction base="dms:Choice">
          <xsd:enumeration value="No"/>
          <xsd:enumeration value="In Progress"/>
          <xsd:enumeration value="Yes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9c5df3ad-b4e5-45d1-88c9-23db5f1fe6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ReviewedBy" ma:index="26" nillable="true" ma:displayName="Reviewed By" ma:format="Dropdown" ma:list="UserInfo" ma:SharePointGroup="0" ma:internalName="ReviewedBy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otentialExemption" ma:index="27" nillable="true" ma:displayName="Potential Exemption" ma:format="Dropdown" ma:internalName="PotentialExemption">
      <xsd:simpleType>
        <xsd:restriction base="dms:Choice">
          <xsd:enumeration value="No"/>
          <xsd:enumeration value="Yes"/>
        </xsd:restriction>
      </xsd:simpleType>
    </xsd:element>
    <xsd:element name="Notes" ma:index="28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SenttoFOIACoordinator_x003f_" ma:index="29" nillable="true" ma:displayName="Sent to FOIA Coordinator?" ma:default="0" ma:description="copied to release folder" ma:format="Dropdown" ma:internalName="SenttoFOIACoordinator_x003f_">
      <xsd:simpleType>
        <xsd:restriction base="dms:Boolean"/>
      </xsd:simpleType>
    </xsd:element>
    <xsd:element name="Details" ma:index="30" nillable="true" ma:displayName="Details" ma:description="Sample project plan. Serves as a 'statement of work/contract' between planner and refuge staff" ma:format="Dropdown" ma:internalName="Detail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062a0d-ede8-4112-b4bb-00a9c1bc8e16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13851efe-1e36-4db9-a978-467e0449cebe}" ma:internalName="TaxCatchAll" ma:showField="CatchAllData" ma:web="2b8eca42-bbaa-4602-a2b4-1626cec753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tes xmlns="73e730c6-7d16-4a80-8d56-95fe64f6fbb0" xsi:nil="true"/>
    <SenttoFOIACoordinator_x003f_ xmlns="73e730c6-7d16-4a80-8d56-95fe64f6fbb0">false</SenttoFOIACoordinator_x003f_>
    <_ip_UnifiedCompliancePolicyUIAction xmlns="http://schemas.microsoft.com/sharepoint/v3" xsi:nil="true"/>
    <lcf76f155ced4ddcb4097134ff3c332f xmlns="73e730c6-7d16-4a80-8d56-95fe64f6fbb0">
      <Terms xmlns="http://schemas.microsoft.com/office/infopath/2007/PartnerControls"/>
    </lcf76f155ced4ddcb4097134ff3c332f>
    <ReviewedBy xmlns="73e730c6-7d16-4a80-8d56-95fe64f6fbb0">
      <UserInfo>
        <DisplayName/>
        <AccountId xsi:nil="true"/>
        <AccountType/>
      </UserInfo>
    </ReviewedBy>
    <Details xmlns="73e730c6-7d16-4a80-8d56-95fe64f6fbb0" xsi:nil="true"/>
    <Notes2 xmlns="73e730c6-7d16-4a80-8d56-95fe64f6fbb0">No</Notes2>
    <PotentialExemption xmlns="73e730c6-7d16-4a80-8d56-95fe64f6fbb0" xsi:nil="true"/>
    <_ip_UnifiedCompliancePolicyProperties xmlns="http://schemas.microsoft.com/sharepoint/v3" xsi:nil="true"/>
    <TaxCatchAll xmlns="31062a0d-ede8-4112-b4bb-00a9c1bc8e16" xsi:nil="true"/>
  </documentManagement>
</p:properties>
</file>

<file path=customXml/itemProps1.xml><?xml version="1.0" encoding="utf-8"?>
<ds:datastoreItem xmlns:ds="http://schemas.openxmlformats.org/officeDocument/2006/customXml" ds:itemID="{95638C8A-A840-4210-AC88-39F8FD3AAEB5}"/>
</file>

<file path=customXml/itemProps2.xml><?xml version="1.0" encoding="utf-8"?>
<ds:datastoreItem xmlns:ds="http://schemas.openxmlformats.org/officeDocument/2006/customXml" ds:itemID="{17EB7B58-FD32-494A-9F96-27652430CC99}"/>
</file>

<file path=customXml/itemProps3.xml><?xml version="1.0" encoding="utf-8"?>
<ds:datastoreItem xmlns:ds="http://schemas.openxmlformats.org/officeDocument/2006/customXml" ds:itemID="{19334F5F-E135-4229-ABB0-52C626AC7E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DOI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Isanhart, John P</dc:creator>
  <cp:lastModifiedBy>Isanhart, John P</cp:lastModifiedBy>
  <dcterms:created xsi:type="dcterms:W3CDTF">2016-03-04T15:47:15Z</dcterms:created>
  <dcterms:modified xsi:type="dcterms:W3CDTF">2016-03-04T20:22:38Z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0x0101009DDD41E5DE9D9E43B625B7CF9A5F215D</vt:lpwstr>
  </property>
  <property fmtid="{D5CDD505-2E9C-101B-9397-08002B2CF9AE}" pid="3" name="Order">
    <vt:r8>317700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xd_Signature">
    <vt:bool>false</vt:bool>
  </property>
  <property fmtid="{D5CDD505-2E9C-101B-9397-08002B2CF9AE}" pid="10" name="xd_ProgID">
    <vt:lpwstr/>
  </property>
  <property fmtid="{D5CDD505-2E9C-101B-9397-08002B2CF9AE}" pid="11" name="TemplateUrl">
    <vt:lpwstr/>
  </property>
  <property fmtid="{D5CDD505-2E9C-101B-9397-08002B2CF9AE}" pid="12" name="Reviewed By?">
    <vt:lpwstr>7;#Pelz, Mark</vt:lpwstr>
  </property>
  <property fmtid="{D5CDD505-2E9C-101B-9397-08002B2CF9AE}" pid="13" name="Reviewed?">
    <vt:lpwstr>Yes</vt:lpwstr>
  </property>
  <property fmtid="{D5CDD505-2E9C-101B-9397-08002B2CF9AE}" pid="14" name="PotentialExemption?">
    <vt:lpwstr>No</vt:lpwstr>
  </property>
</Properties>
</file>