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5600" windowHeight="11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35" i="1" l="1"/>
  <c r="E35" i="1"/>
  <c r="E34" i="1"/>
  <c r="E32" i="1"/>
  <c r="E57" i="1" l="1"/>
  <c r="E33" i="1" l="1"/>
  <c r="F57" i="1"/>
  <c r="E49" i="1"/>
  <c r="E48" i="1"/>
  <c r="F48" i="1" s="1"/>
  <c r="E47" i="1"/>
  <c r="F47" i="1" s="1"/>
  <c r="F43" i="1"/>
  <c r="E43" i="1"/>
  <c r="F38" i="1"/>
  <c r="E38" i="1"/>
  <c r="F36" i="1"/>
  <c r="E36" i="1"/>
  <c r="F32" i="1"/>
  <c r="F39" i="1" s="1"/>
  <c r="F34" i="1"/>
  <c r="E39" i="1" l="1"/>
  <c r="E50" i="1"/>
  <c r="F50" i="1"/>
  <c r="E26" i="1"/>
  <c r="B22" i="1"/>
  <c r="E22" i="1" s="1"/>
  <c r="B21" i="1"/>
  <c r="E21" i="1" s="1"/>
  <c r="B10" i="1"/>
  <c r="F10" i="1" s="1"/>
  <c r="B9" i="1"/>
  <c r="F9" i="1" s="1"/>
  <c r="E16" i="1"/>
  <c r="E61" i="1" l="1"/>
  <c r="E63" i="1" s="1"/>
  <c r="E10" i="1"/>
  <c r="F21" i="1"/>
  <c r="E9" i="1"/>
  <c r="E23" i="1"/>
  <c r="E27" i="1" s="1"/>
  <c r="F22" i="1"/>
  <c r="F16" i="1"/>
  <c r="F11" i="1"/>
  <c r="F61" i="1" l="1"/>
  <c r="F63" i="1" s="1"/>
  <c r="E11" i="1"/>
  <c r="F17" i="1"/>
  <c r="F23" i="1"/>
  <c r="F27" i="1" s="1"/>
  <c r="E17" i="1" l="1"/>
  <c r="E28" i="1" s="1"/>
  <c r="E59" i="1" s="1"/>
  <c r="E60" i="1"/>
  <c r="E62" i="1" s="1"/>
  <c r="E64" i="1" s="1"/>
  <c r="F60" i="1"/>
  <c r="F62" i="1" s="1"/>
  <c r="F64" i="1" s="1"/>
  <c r="F28" i="1"/>
  <c r="F59" i="1" s="1"/>
</calcChain>
</file>

<file path=xl/sharedStrings.xml><?xml version="1.0" encoding="utf-8"?>
<sst xmlns="http://schemas.openxmlformats.org/spreadsheetml/2006/main" count="113" uniqueCount="63">
  <si>
    <t>DRAFT FINANCIAL PLAN - COST ESTIMATES PER YEAR</t>
  </si>
  <si>
    <t>Expense</t>
  </si>
  <si>
    <t>Cost per unit</t>
  </si>
  <si>
    <t>Hrs/ # / mileage</t>
  </si>
  <si>
    <t>No. dates/notes</t>
  </si>
  <si>
    <t>Comments</t>
  </si>
  <si>
    <t>Project Manager</t>
  </si>
  <si>
    <t>Personnel - Data Management, Analysis, and Reporting</t>
  </si>
  <si>
    <t>Rental fuel</t>
  </si>
  <si>
    <t>Principal Investigator</t>
  </si>
  <si>
    <t>NA</t>
  </si>
  <si>
    <t>Biologist</t>
  </si>
  <si>
    <t>USDA - APHIS</t>
  </si>
  <si>
    <t>Biological Technician</t>
  </si>
  <si>
    <t>Point Blue</t>
  </si>
  <si>
    <t>Personnel - Project Planning and Management/ Field Work - Salary and Benefits</t>
  </si>
  <si>
    <t>Subtotal- Planning, Mngmt, Field</t>
  </si>
  <si>
    <t>Subtotal - USDA - APHIS</t>
  </si>
  <si>
    <t>Subtotal - Point Blue</t>
  </si>
  <si>
    <t>Subtotal- Data Analysis and Reporting</t>
  </si>
  <si>
    <t>assumes GS-13/6; 2018 pay scale + 35% benefits</t>
  </si>
  <si>
    <t>assumes GS-12/6; 2018 pay scale + 35% benefits</t>
  </si>
  <si>
    <t>PROJECT TITLE: FARALLON HOUSE MOUSE ERADICATION PROJECT  - MONITORING PLAN</t>
  </si>
  <si>
    <t>SUBTOTAL - PERSONNEL</t>
  </si>
  <si>
    <t>Operating Expenses - Travel</t>
  </si>
  <si>
    <t xml:space="preserve">Lodging </t>
  </si>
  <si>
    <t>M&amp;IE</t>
  </si>
  <si>
    <t>Vehicle rental</t>
  </si>
  <si>
    <t xml:space="preserve">Parking </t>
  </si>
  <si>
    <t>Animal Tissues</t>
  </si>
  <si>
    <t>Plant tissue - method development</t>
  </si>
  <si>
    <t>Cricket tissue - method development</t>
  </si>
  <si>
    <t>Other - method development</t>
  </si>
  <si>
    <t>Water samples</t>
  </si>
  <si>
    <t>Soil samples</t>
  </si>
  <si>
    <t>Bait Analysis</t>
  </si>
  <si>
    <t>Supplies, Equipment, Printing, Shipping, and Other Services</t>
  </si>
  <si>
    <t>front and back ends of trips</t>
  </si>
  <si>
    <t>per person  per trip (RT)</t>
  </si>
  <si>
    <t>SUBTOTAL - TRAVEL</t>
  </si>
  <si>
    <t>reduced rate ($41.25) when on SE Farallon island</t>
  </si>
  <si>
    <t>FY2018, 2019, and 2020</t>
  </si>
  <si>
    <t>200 samples (2018); 100 samples other years</t>
  </si>
  <si>
    <t>Misc. supplies</t>
  </si>
  <si>
    <t>Printing</t>
  </si>
  <si>
    <t xml:space="preserve">Shiiping </t>
  </si>
  <si>
    <t>SUBTOTAL - MISC.</t>
  </si>
  <si>
    <t>FY 2018</t>
  </si>
  <si>
    <t>FY 2019</t>
  </si>
  <si>
    <t>Point Blue Overhead (35%)</t>
  </si>
  <si>
    <t>TOTAL - USDA</t>
  </si>
  <si>
    <t>TOTAL - POINT BLUE</t>
  </si>
  <si>
    <t>GSA city pair rate (2016)</t>
  </si>
  <si>
    <t>2016 lodging rate for SFO</t>
  </si>
  <si>
    <t>2016 rates for SFO</t>
  </si>
  <si>
    <t xml:space="preserve">Airfare </t>
  </si>
  <si>
    <t>Baggage fees</t>
  </si>
  <si>
    <t>RT per person</t>
  </si>
  <si>
    <t>GRAND SUBTOTAL (minus overhead)</t>
  </si>
  <si>
    <t>GRAND TOTAL - PER YEAR</t>
  </si>
  <si>
    <t xml:space="preserve">Laboratory Analyses </t>
  </si>
  <si>
    <t>SUBTOTAL - LAB ANALYSIS</t>
  </si>
  <si>
    <t>USDA Overhead (28%) - on all 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</si>
</sst>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rgb="FF3333FF"/>
      <name val="Arial"/>
      <family val="2"/>
    </font>
    <font>
      <b/>
      <sz val="14"/>
      <name val="Arial"/>
      <family val="2"/>
    </font>
    <font>
      <b/>
      <sz val="12"/>
      <color rgb="FF3333FF"/>
      <name val="Arial"/>
      <family val="2"/>
    </font>
    <font>
      <b/>
      <sz val="12"/>
      <color rgb="FF7030A0"/>
      <name val="Arial"/>
      <family val="2"/>
    </font>
    <font>
      <b/>
      <u/>
      <sz val="14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7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9">
    <xf numFmtId="0" fontId="0" fillId="0" borderId="0" xfId="0"/>
    <xf numFmtId="0" fontId="3" fillId="0" borderId="1" xfId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0" fontId="4" fillId="5" borderId="1" xfId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/>
    </xf>
    <xf numFmtId="0" fontId="0" fillId="0" borderId="1" xfId="0" applyBorder="1"/>
    <xf numFmtId="165" fontId="3" fillId="0" borderId="1" xfId="1" applyNumberFormat="1" applyFont="1" applyFill="1" applyBorder="1" applyAlignment="1">
      <alignment horizontal="center" wrapText="1"/>
    </xf>
    <xf numFmtId="0" fontId="0" fillId="0" borderId="0" xfId="0" applyFill="1"/>
    <xf numFmtId="165" fontId="3" fillId="3" borderId="1" xfId="1" applyNumberFormat="1" applyFont="1" applyFill="1" applyBorder="1" applyAlignment="1">
      <alignment horizontal="center" wrapText="1"/>
    </xf>
    <xf numFmtId="0" fontId="3" fillId="3" borderId="1" xfId="1" applyFont="1" applyFill="1" applyBorder="1" applyAlignment="1">
      <alignment horizontal="center" wrapText="1"/>
    </xf>
    <xf numFmtId="3" fontId="3" fillId="3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center" wrapText="1"/>
    </xf>
    <xf numFmtId="0" fontId="3" fillId="3" borderId="1" xfId="1" applyFont="1" applyFill="1" applyBorder="1" applyAlignment="1">
      <alignment horizontal="center"/>
    </xf>
    <xf numFmtId="3" fontId="3" fillId="3" borderId="1" xfId="1" applyNumberFormat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0" fontId="1" fillId="4" borderId="0" xfId="0" applyFont="1" applyFill="1" applyBorder="1"/>
    <xf numFmtId="0" fontId="0" fillId="0" borderId="0" xfId="0" applyBorder="1"/>
    <xf numFmtId="0" fontId="0" fillId="4" borderId="0" xfId="0" applyFill="1" applyBorder="1"/>
    <xf numFmtId="0" fontId="2" fillId="4" borderId="0" xfId="0" applyFont="1" applyFill="1" applyBorder="1"/>
    <xf numFmtId="0" fontId="10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wrapText="1"/>
    </xf>
    <xf numFmtId="0" fontId="4" fillId="3" borderId="6" xfId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left" wrapText="1"/>
    </xf>
    <xf numFmtId="0" fontId="3" fillId="3" borderId="6" xfId="1" applyFont="1" applyFill="1" applyBorder="1" applyAlignment="1">
      <alignment horizontal="left" wrapText="1"/>
    </xf>
    <xf numFmtId="0" fontId="4" fillId="0" borderId="6" xfId="1" applyFont="1" applyFill="1" applyBorder="1" applyAlignment="1">
      <alignment horizontal="left" wrapText="1"/>
    </xf>
    <xf numFmtId="0" fontId="3" fillId="0" borderId="6" xfId="1" applyFont="1" applyBorder="1" applyAlignment="1">
      <alignment horizontal="left" wrapText="1"/>
    </xf>
    <xf numFmtId="0" fontId="0" fillId="0" borderId="6" xfId="0" applyBorder="1"/>
    <xf numFmtId="0" fontId="3" fillId="2" borderId="6" xfId="1" applyFont="1" applyFill="1" applyBorder="1" applyAlignment="1">
      <alignment horizontal="left" wrapText="1"/>
    </xf>
    <xf numFmtId="0" fontId="0" fillId="0" borderId="9" xfId="0" applyBorder="1"/>
    <xf numFmtId="164" fontId="4" fillId="5" borderId="1" xfId="1" applyNumberFormat="1" applyFont="1" applyFill="1" applyBorder="1" applyAlignment="1">
      <alignment horizontal="center"/>
    </xf>
    <xf numFmtId="0" fontId="4" fillId="6" borderId="1" xfId="1" applyFont="1" applyFill="1" applyBorder="1" applyAlignment="1">
      <alignment horizontal="center"/>
    </xf>
    <xf numFmtId="164" fontId="4" fillId="6" borderId="1" xfId="1" applyNumberFormat="1" applyFont="1" applyFill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164" fontId="3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/>
    </xf>
    <xf numFmtId="3" fontId="5" fillId="3" borderId="1" xfId="1" applyNumberFormat="1" applyFont="1" applyFill="1" applyBorder="1" applyAlignment="1">
      <alignment horizontal="center"/>
    </xf>
    <xf numFmtId="0" fontId="13" fillId="6" borderId="1" xfId="1" applyFont="1" applyFill="1" applyBorder="1" applyAlignment="1">
      <alignment horizontal="center"/>
    </xf>
    <xf numFmtId="164" fontId="13" fillId="6" borderId="1" xfId="1" applyNumberFormat="1" applyFont="1" applyFill="1" applyBorder="1" applyAlignment="1">
      <alignment horizontal="center"/>
    </xf>
    <xf numFmtId="0" fontId="0" fillId="0" borderId="8" xfId="0" applyFill="1" applyBorder="1"/>
    <xf numFmtId="0" fontId="13" fillId="4" borderId="1" xfId="1" applyFont="1" applyFill="1" applyBorder="1" applyAlignment="1">
      <alignment horizontal="center"/>
    </xf>
    <xf numFmtId="164" fontId="13" fillId="4" borderId="1" xfId="1" applyNumberFormat="1" applyFont="1" applyFill="1" applyBorder="1" applyAlignment="1">
      <alignment horizontal="center"/>
    </xf>
    <xf numFmtId="0" fontId="3" fillId="2" borderId="12" xfId="1" applyFont="1" applyFill="1" applyBorder="1" applyAlignment="1">
      <alignment horizontal="left" wrapText="1"/>
    </xf>
    <xf numFmtId="0" fontId="13" fillId="6" borderId="1" xfId="0" applyFont="1" applyFill="1" applyBorder="1" applyAlignment="1">
      <alignment horizontal="center"/>
    </xf>
    <xf numFmtId="164" fontId="13" fillId="6" borderId="1" xfId="0" applyNumberFormat="1" applyFont="1" applyFill="1" applyBorder="1" applyAlignment="1">
      <alignment horizontal="center"/>
    </xf>
    <xf numFmtId="0" fontId="14" fillId="7" borderId="13" xfId="0" applyFont="1" applyFill="1" applyBorder="1" applyAlignment="1">
      <alignment horizontal="center"/>
    </xf>
    <xf numFmtId="164" fontId="15" fillId="7" borderId="14" xfId="0" applyNumberFormat="1" applyFont="1" applyFill="1" applyBorder="1" applyAlignment="1">
      <alignment horizontal="center"/>
    </xf>
    <xf numFmtId="0" fontId="3" fillId="0" borderId="5" xfId="1" applyFont="1" applyFill="1" applyBorder="1" applyAlignment="1">
      <alignment horizontal="left"/>
    </xf>
    <xf numFmtId="0" fontId="3" fillId="0" borderId="10" xfId="1" applyFont="1" applyFill="1" applyBorder="1" applyAlignment="1">
      <alignment horizontal="left"/>
    </xf>
    <xf numFmtId="0" fontId="3" fillId="0" borderId="11" xfId="1" applyFont="1" applyFill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3" fillId="4" borderId="1" xfId="1" applyFont="1" applyFill="1" applyBorder="1" applyAlignment="1">
      <alignment horizontal="left" wrapText="1"/>
    </xf>
    <xf numFmtId="165" fontId="13" fillId="4" borderId="1" xfId="1" applyNumberFormat="1" applyFont="1" applyFill="1" applyBorder="1" applyAlignment="1">
      <alignment horizontal="center" wrapText="1"/>
    </xf>
    <xf numFmtId="0" fontId="9" fillId="0" borderId="5" xfId="1" applyFont="1" applyBorder="1" applyAlignment="1">
      <alignment horizontal="left" wrapText="1"/>
    </xf>
    <xf numFmtId="0" fontId="9" fillId="0" borderId="5" xfId="1" applyFont="1" applyFill="1" applyBorder="1" applyAlignment="1">
      <alignment horizontal="left"/>
    </xf>
    <xf numFmtId="0" fontId="3" fillId="0" borderId="5" xfId="1" applyFont="1" applyFill="1" applyBorder="1" applyAlignment="1">
      <alignment horizontal="left" wrapText="1"/>
    </xf>
    <xf numFmtId="0" fontId="3" fillId="0" borderId="5" xfId="1" applyFont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8" fillId="0" borderId="5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 wrapText="1"/>
    </xf>
    <xf numFmtId="0" fontId="16" fillId="0" borderId="0" xfId="0" applyFont="1" applyAlignment="1">
      <alignment horizontal="left"/>
    </xf>
    <xf numFmtId="0" fontId="12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6" fillId="3" borderId="5" xfId="1" applyFont="1" applyFill="1" applyBorder="1" applyAlignment="1">
      <alignment horizontal="left"/>
    </xf>
    <xf numFmtId="164" fontId="3" fillId="0" borderId="5" xfId="1" applyNumberFormat="1" applyFont="1" applyFill="1" applyBorder="1" applyAlignment="1">
      <alignment horizontal="left" wrapText="1"/>
    </xf>
    <xf numFmtId="164" fontId="3" fillId="0" borderId="5" xfId="1" applyNumberFormat="1" applyFont="1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8" fillId="0" borderId="5" xfId="1" applyFont="1" applyFill="1" applyBorder="1" applyAlignment="1">
      <alignment horizontal="left" wrapText="1"/>
    </xf>
    <xf numFmtId="0" fontId="13" fillId="6" borderId="1" xfId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topLeftCell="A34" zoomScale="60" zoomScaleNormal="60" workbookViewId="0">
      <selection activeCell="F26" sqref="F26"/>
    </sheetView>
  </sheetViews>
  <sheetFormatPr defaultRowHeight="15" x14ac:dyDescent="0.25"/>
  <cols>
    <col min="1" max="1" width="33" customWidth="1"/>
    <col min="2" max="2" width="17.140625" customWidth="1"/>
    <col min="3" max="3" width="11.85546875" customWidth="1"/>
    <col min="4" max="4" width="44.85546875" customWidth="1"/>
    <col min="5" max="5" width="17" bestFit="1" customWidth="1"/>
    <col min="6" max="6" width="19.140625" customWidth="1"/>
    <col min="7" max="7" width="27.7109375" bestFit="1" customWidth="1"/>
  </cols>
  <sheetData>
    <row r="1" spans="1:7" x14ac:dyDescent="0.25">
      <c r="A1" s="24" t="s">
        <v>0</v>
      </c>
      <c r="B1" s="25"/>
      <c r="C1" s="25"/>
      <c r="D1" s="25"/>
      <c r="E1" s="25"/>
      <c r="F1" s="25"/>
      <c r="G1" s="25"/>
    </row>
    <row r="2" spans="1:7" x14ac:dyDescent="0.25">
      <c r="A2" s="24" t="s">
        <v>41</v>
      </c>
      <c r="B2" s="25"/>
      <c r="C2" s="25"/>
      <c r="D2" s="25"/>
      <c r="E2" s="25"/>
      <c r="F2" s="25"/>
      <c r="G2" s="25"/>
    </row>
    <row r="3" spans="1:7" x14ac:dyDescent="0.25">
      <c r="A3" s="26"/>
      <c r="B3" s="25"/>
      <c r="C3" s="25"/>
      <c r="D3" s="25"/>
      <c r="E3" s="25"/>
      <c r="F3" s="25"/>
      <c r="G3" s="25"/>
    </row>
    <row r="4" spans="1:7" ht="18.75" x14ac:dyDescent="0.3">
      <c r="A4" s="27" t="s">
        <v>22</v>
      </c>
      <c r="B4" s="25"/>
      <c r="C4" s="25"/>
      <c r="D4" s="25"/>
      <c r="E4" s="25"/>
      <c r="F4" s="25"/>
      <c r="G4" s="25"/>
    </row>
    <row r="5" spans="1:7" ht="15.75" thickBot="1" x14ac:dyDescent="0.3">
      <c r="A5" s="25"/>
      <c r="B5" s="25"/>
      <c r="C5" s="25"/>
      <c r="D5" s="25"/>
      <c r="E5" s="25"/>
      <c r="F5" s="25"/>
      <c r="G5" s="25"/>
    </row>
    <row r="6" spans="1:7" ht="42.75" customHeight="1" x14ac:dyDescent="0.25">
      <c r="A6" s="28" t="s">
        <v>1</v>
      </c>
      <c r="B6" s="29" t="s">
        <v>2</v>
      </c>
      <c r="C6" s="29" t="s">
        <v>3</v>
      </c>
      <c r="D6" s="29" t="s">
        <v>4</v>
      </c>
      <c r="E6" s="29" t="s">
        <v>47</v>
      </c>
      <c r="F6" s="29" t="s">
        <v>48</v>
      </c>
      <c r="G6" s="30" t="s">
        <v>5</v>
      </c>
    </row>
    <row r="7" spans="1:7" ht="63" x14ac:dyDescent="0.25">
      <c r="A7" s="31" t="s">
        <v>15</v>
      </c>
      <c r="B7" s="18"/>
      <c r="C7" s="18"/>
      <c r="D7" s="18"/>
      <c r="E7" s="18"/>
      <c r="F7" s="18"/>
      <c r="G7" s="32"/>
    </row>
    <row r="8" spans="1:7" ht="15.75" x14ac:dyDescent="0.25">
      <c r="A8" s="63" t="s">
        <v>12</v>
      </c>
      <c r="B8" s="18"/>
      <c r="C8" s="18"/>
      <c r="D8" s="18"/>
      <c r="E8" s="18"/>
      <c r="F8" s="18"/>
      <c r="G8" s="32"/>
    </row>
    <row r="9" spans="1:7" s="12" customFormat="1" ht="26.25" x14ac:dyDescent="0.25">
      <c r="A9" s="57" t="s">
        <v>9</v>
      </c>
      <c r="B9" s="11">
        <f>(49.3+1.02)+(50.75*0.35)</f>
        <v>68.082499999999996</v>
      </c>
      <c r="C9" s="8" t="s">
        <v>10</v>
      </c>
      <c r="D9" s="8" t="s">
        <v>10</v>
      </c>
      <c r="E9" s="7">
        <f>B9*160</f>
        <v>10893.199999999999</v>
      </c>
      <c r="F9" s="7">
        <f>B9*80+150</f>
        <v>5596.5999999999995</v>
      </c>
      <c r="G9" s="33" t="s">
        <v>20</v>
      </c>
    </row>
    <row r="10" spans="1:7" s="12" customFormat="1" ht="26.25" x14ac:dyDescent="0.25">
      <c r="A10" s="57" t="s">
        <v>11</v>
      </c>
      <c r="B10" s="11">
        <f>(42.68+0.9)+(43.58*0.35)</f>
        <v>58.832999999999998</v>
      </c>
      <c r="C10" s="8" t="s">
        <v>10</v>
      </c>
      <c r="D10" s="8" t="s">
        <v>10</v>
      </c>
      <c r="E10" s="7">
        <f>B10*240</f>
        <v>14119.92</v>
      </c>
      <c r="F10" s="7">
        <f>B10*120+170</f>
        <v>7229.96</v>
      </c>
      <c r="G10" s="33" t="s">
        <v>21</v>
      </c>
    </row>
    <row r="11" spans="1:7" s="12" customFormat="1" x14ac:dyDescent="0.25">
      <c r="A11" s="57"/>
      <c r="B11" s="11"/>
      <c r="C11" s="8"/>
      <c r="D11" s="16" t="s">
        <v>17</v>
      </c>
      <c r="E11" s="17">
        <f>SUM(E9:E10)</f>
        <v>25013.119999999999</v>
      </c>
      <c r="F11" s="17">
        <f>SUM(F9:F10)</f>
        <v>12826.56</v>
      </c>
      <c r="G11" s="33"/>
    </row>
    <row r="12" spans="1:7" s="12" customFormat="1" ht="15.75" x14ac:dyDescent="0.25">
      <c r="A12" s="64" t="s">
        <v>14</v>
      </c>
      <c r="B12" s="13"/>
      <c r="C12" s="14"/>
      <c r="D12" s="14"/>
      <c r="E12" s="15"/>
      <c r="F12" s="15"/>
      <c r="G12" s="34"/>
    </row>
    <row r="13" spans="1:7" s="12" customFormat="1" x14ac:dyDescent="0.25">
      <c r="A13" s="65" t="s">
        <v>6</v>
      </c>
      <c r="B13" s="11" t="s">
        <v>10</v>
      </c>
      <c r="C13" s="8" t="s">
        <v>10</v>
      </c>
      <c r="D13" s="8" t="s">
        <v>10</v>
      </c>
      <c r="E13" s="7">
        <v>9000</v>
      </c>
      <c r="F13" s="7">
        <v>0</v>
      </c>
      <c r="G13" s="35"/>
    </row>
    <row r="14" spans="1:7" s="12" customFormat="1" x14ac:dyDescent="0.25">
      <c r="A14" s="65" t="s">
        <v>13</v>
      </c>
      <c r="B14" s="11" t="s">
        <v>10</v>
      </c>
      <c r="C14" s="8" t="s">
        <v>10</v>
      </c>
      <c r="D14" s="8" t="s">
        <v>10</v>
      </c>
      <c r="E14" s="7">
        <v>7500</v>
      </c>
      <c r="F14" s="7">
        <v>0</v>
      </c>
      <c r="G14" s="35"/>
    </row>
    <row r="15" spans="1:7" s="12" customFormat="1" x14ac:dyDescent="0.25">
      <c r="A15" s="65" t="s">
        <v>13</v>
      </c>
      <c r="B15" s="11" t="s">
        <v>10</v>
      </c>
      <c r="C15" s="8" t="s">
        <v>10</v>
      </c>
      <c r="D15" s="8" t="s">
        <v>10</v>
      </c>
      <c r="E15" s="7">
        <v>7500</v>
      </c>
      <c r="F15" s="7">
        <v>0</v>
      </c>
      <c r="G15" s="35"/>
    </row>
    <row r="16" spans="1:7" s="12" customFormat="1" x14ac:dyDescent="0.25">
      <c r="A16" s="65"/>
      <c r="B16" s="11"/>
      <c r="C16" s="8"/>
      <c r="D16" s="16" t="s">
        <v>18</v>
      </c>
      <c r="E16" s="17">
        <f>SUM(E13:E15)</f>
        <v>24000</v>
      </c>
      <c r="F16" s="17">
        <f t="shared" ref="F16" si="0">SUM(F13:F15)</f>
        <v>0</v>
      </c>
      <c r="G16" s="35"/>
    </row>
    <row r="17" spans="1:7" ht="15.75" customHeight="1" x14ac:dyDescent="0.25">
      <c r="A17" s="66"/>
      <c r="B17" s="5"/>
      <c r="C17" s="1"/>
      <c r="D17" s="6" t="s">
        <v>16</v>
      </c>
      <c r="E17" s="40">
        <f>E16+E11</f>
        <v>49013.119999999995</v>
      </c>
      <c r="F17" s="40">
        <f>F16+F11</f>
        <v>12826.56</v>
      </c>
      <c r="G17" s="36"/>
    </row>
    <row r="18" spans="1:7" ht="15.75" customHeight="1" x14ac:dyDescent="0.25">
      <c r="A18" s="67"/>
      <c r="B18" s="21"/>
      <c r="C18" s="19"/>
      <c r="D18" s="22"/>
      <c r="E18" s="23"/>
      <c r="F18" s="23"/>
      <c r="G18" s="34"/>
    </row>
    <row r="19" spans="1:7" ht="31.5" customHeight="1" x14ac:dyDescent="0.25">
      <c r="A19" s="77" t="s">
        <v>7</v>
      </c>
      <c r="B19" s="44"/>
      <c r="C19" s="19"/>
      <c r="D19" s="19"/>
      <c r="E19" s="20"/>
      <c r="F19" s="20"/>
      <c r="G19" s="34"/>
    </row>
    <row r="20" spans="1:7" ht="15.75" customHeight="1" x14ac:dyDescent="0.25">
      <c r="A20" s="63" t="s">
        <v>12</v>
      </c>
      <c r="B20" s="21"/>
      <c r="C20" s="19"/>
      <c r="D20" s="19"/>
      <c r="E20" s="20"/>
      <c r="F20" s="20"/>
      <c r="G20" s="34"/>
    </row>
    <row r="21" spans="1:7" ht="15.75" customHeight="1" x14ac:dyDescent="0.25">
      <c r="A21" s="57" t="s">
        <v>9</v>
      </c>
      <c r="B21" s="11">
        <f>(49.3+1.02)+(50.75*0.35)</f>
        <v>68.082499999999996</v>
      </c>
      <c r="C21" s="8" t="s">
        <v>10</v>
      </c>
      <c r="D21" s="8" t="s">
        <v>10</v>
      </c>
      <c r="E21" s="7">
        <f>B21*120</f>
        <v>8169.9</v>
      </c>
      <c r="F21" s="7">
        <f>B21*60+100</f>
        <v>4184.95</v>
      </c>
      <c r="G21" s="33"/>
    </row>
    <row r="22" spans="1:7" x14ac:dyDescent="0.25">
      <c r="A22" s="57" t="s">
        <v>11</v>
      </c>
      <c r="B22" s="11">
        <f>(42.68+0.9)+(43.58*0.35)</f>
        <v>58.832999999999998</v>
      </c>
      <c r="C22" s="8" t="s">
        <v>10</v>
      </c>
      <c r="D22" s="8" t="s">
        <v>10</v>
      </c>
      <c r="E22" s="7">
        <f>B22*120</f>
        <v>7059.96</v>
      </c>
      <c r="F22" s="7">
        <f>B22*80+90</f>
        <v>4796.6399999999994</v>
      </c>
      <c r="G22" s="33"/>
    </row>
    <row r="23" spans="1:7" x14ac:dyDescent="0.25">
      <c r="A23" s="65"/>
      <c r="B23" s="11"/>
      <c r="C23" s="8"/>
      <c r="D23" s="16" t="s">
        <v>17</v>
      </c>
      <c r="E23" s="17">
        <f>SUM(E21:E22)</f>
        <v>15229.86</v>
      </c>
      <c r="F23" s="17">
        <f>SUM(F21:F22)</f>
        <v>8981.59</v>
      </c>
      <c r="G23" s="33"/>
    </row>
    <row r="24" spans="1:7" ht="15.75" x14ac:dyDescent="0.25">
      <c r="A24" s="64" t="s">
        <v>14</v>
      </c>
      <c r="B24" s="13"/>
      <c r="C24" s="14"/>
      <c r="D24" s="19"/>
      <c r="E24" s="20"/>
      <c r="F24" s="20"/>
      <c r="G24" s="34"/>
    </row>
    <row r="25" spans="1:7" x14ac:dyDescent="0.25">
      <c r="A25" s="65" t="s">
        <v>6</v>
      </c>
      <c r="B25" s="11" t="s">
        <v>10</v>
      </c>
      <c r="C25" s="8" t="s">
        <v>10</v>
      </c>
      <c r="D25" s="3" t="s">
        <v>10</v>
      </c>
      <c r="E25" s="9"/>
      <c r="F25" s="9"/>
      <c r="G25" s="33"/>
    </row>
    <row r="26" spans="1:7" x14ac:dyDescent="0.25">
      <c r="A26" s="65"/>
      <c r="B26" s="11"/>
      <c r="C26" s="8"/>
      <c r="D26" s="16" t="s">
        <v>18</v>
      </c>
      <c r="E26" s="17">
        <f>7000</f>
        <v>7000</v>
      </c>
      <c r="F26" s="17"/>
      <c r="G26" s="33"/>
    </row>
    <row r="27" spans="1:7" x14ac:dyDescent="0.25">
      <c r="A27" s="65"/>
      <c r="B27" s="11"/>
      <c r="C27" s="8"/>
      <c r="D27" s="6" t="s">
        <v>19</v>
      </c>
      <c r="E27" s="40">
        <f>E26+E23</f>
        <v>22229.86</v>
      </c>
      <c r="F27" s="40">
        <f>F26+F23</f>
        <v>8981.59</v>
      </c>
      <c r="G27" s="33"/>
    </row>
    <row r="28" spans="1:7" x14ac:dyDescent="0.25">
      <c r="A28" s="65"/>
      <c r="B28" s="11"/>
      <c r="C28" s="8"/>
      <c r="D28" s="41" t="s">
        <v>23</v>
      </c>
      <c r="E28" s="42">
        <f>E27+E17</f>
        <v>71242.98</v>
      </c>
      <c r="F28" s="42">
        <f>F27+F17</f>
        <v>21808.15</v>
      </c>
      <c r="G28" s="33"/>
    </row>
    <row r="29" spans="1:7" x14ac:dyDescent="0.25">
      <c r="A29" s="69"/>
      <c r="B29" s="13"/>
      <c r="C29" s="14"/>
      <c r="D29" s="19"/>
      <c r="E29" s="20"/>
      <c r="F29" s="20"/>
      <c r="G29" s="34"/>
    </row>
    <row r="30" spans="1:7" ht="15.75" x14ac:dyDescent="0.25">
      <c r="A30" s="68" t="s">
        <v>24</v>
      </c>
      <c r="B30" s="44"/>
      <c r="C30" s="19"/>
      <c r="D30" s="19"/>
      <c r="E30" s="20"/>
      <c r="F30" s="20"/>
      <c r="G30" s="34"/>
    </row>
    <row r="31" spans="1:7" ht="15.75" x14ac:dyDescent="0.25">
      <c r="A31" s="70" t="s">
        <v>12</v>
      </c>
      <c r="B31" s="44"/>
      <c r="C31" s="19"/>
      <c r="D31" s="22"/>
      <c r="E31" s="23"/>
      <c r="F31" s="23"/>
      <c r="G31" s="34"/>
    </row>
    <row r="32" spans="1:7" x14ac:dyDescent="0.25">
      <c r="A32" s="57" t="s">
        <v>55</v>
      </c>
      <c r="B32" s="4">
        <v>700</v>
      </c>
      <c r="C32" s="8" t="s">
        <v>10</v>
      </c>
      <c r="D32" s="3" t="s">
        <v>38</v>
      </c>
      <c r="E32" s="2">
        <f>B32*4</f>
        <v>2800</v>
      </c>
      <c r="F32" s="2">
        <f>B32*4</f>
        <v>2800</v>
      </c>
      <c r="G32" s="33" t="s">
        <v>52</v>
      </c>
    </row>
    <row r="33" spans="1:7" x14ac:dyDescent="0.25">
      <c r="A33" s="57" t="s">
        <v>56</v>
      </c>
      <c r="B33" s="4">
        <v>50</v>
      </c>
      <c r="C33" s="8" t="s">
        <v>10</v>
      </c>
      <c r="D33" s="3" t="s">
        <v>57</v>
      </c>
      <c r="E33" s="2">
        <f>B33*8</f>
        <v>400</v>
      </c>
      <c r="F33" s="2">
        <v>200</v>
      </c>
      <c r="G33" s="33"/>
    </row>
    <row r="34" spans="1:7" x14ac:dyDescent="0.25">
      <c r="A34" s="66" t="s">
        <v>25</v>
      </c>
      <c r="B34" s="4">
        <v>250</v>
      </c>
      <c r="C34" s="8" t="s">
        <v>10</v>
      </c>
      <c r="D34" s="3" t="s">
        <v>37</v>
      </c>
      <c r="E34" s="2">
        <f>250*2*4</f>
        <v>2000</v>
      </c>
      <c r="F34" s="2">
        <f>B34*2*4</f>
        <v>2000</v>
      </c>
      <c r="G34" s="33" t="s">
        <v>53</v>
      </c>
    </row>
    <row r="35" spans="1:7" x14ac:dyDescent="0.25">
      <c r="A35" s="57" t="s">
        <v>26</v>
      </c>
      <c r="B35" s="4">
        <v>74</v>
      </c>
      <c r="C35" s="8" t="s">
        <v>10</v>
      </c>
      <c r="D35" s="3" t="s">
        <v>40</v>
      </c>
      <c r="E35" s="2">
        <f>(55.5*4)+(41.25*56)</f>
        <v>2532</v>
      </c>
      <c r="F35" s="2">
        <f>(55.5*2)+(41.25*20)</f>
        <v>936</v>
      </c>
      <c r="G35" s="33" t="s">
        <v>54</v>
      </c>
    </row>
    <row r="36" spans="1:7" x14ac:dyDescent="0.25">
      <c r="A36" s="71" t="s">
        <v>27</v>
      </c>
      <c r="B36" s="43">
        <v>25</v>
      </c>
      <c r="C36" s="8" t="s">
        <v>10</v>
      </c>
      <c r="D36" s="8" t="s">
        <v>10</v>
      </c>
      <c r="E36" s="60">
        <f>B36*16</f>
        <v>400</v>
      </c>
      <c r="F36" s="60">
        <f>B36*12</f>
        <v>300</v>
      </c>
      <c r="G36" s="37"/>
    </row>
    <row r="37" spans="1:7" x14ac:dyDescent="0.25">
      <c r="A37" s="71" t="s">
        <v>8</v>
      </c>
      <c r="B37" s="43" t="s">
        <v>10</v>
      </c>
      <c r="C37" s="8" t="s">
        <v>10</v>
      </c>
      <c r="D37" s="8" t="s">
        <v>10</v>
      </c>
      <c r="E37" s="60">
        <v>50</v>
      </c>
      <c r="F37" s="60">
        <v>50</v>
      </c>
      <c r="G37" s="37"/>
    </row>
    <row r="38" spans="1:7" x14ac:dyDescent="0.25">
      <c r="A38" s="71" t="s">
        <v>28</v>
      </c>
      <c r="B38" s="43">
        <v>10</v>
      </c>
      <c r="C38" s="8" t="s">
        <v>10</v>
      </c>
      <c r="D38" s="8" t="s">
        <v>10</v>
      </c>
      <c r="E38" s="60">
        <f>B38*32</f>
        <v>320</v>
      </c>
      <c r="F38" s="60">
        <f>B38*12</f>
        <v>120</v>
      </c>
      <c r="G38" s="37"/>
    </row>
    <row r="39" spans="1:7" x14ac:dyDescent="0.25">
      <c r="A39" s="72"/>
      <c r="B39" s="10"/>
      <c r="C39" s="10"/>
      <c r="D39" s="41" t="s">
        <v>39</v>
      </c>
      <c r="E39" s="42">
        <f>SUM(E32:E38)</f>
        <v>8502</v>
      </c>
      <c r="F39" s="42">
        <f>SUM(F32:F38)</f>
        <v>6406</v>
      </c>
      <c r="G39" s="37"/>
    </row>
    <row r="40" spans="1:7" x14ac:dyDescent="0.25">
      <c r="A40" s="73"/>
      <c r="B40" s="44"/>
      <c r="C40" s="19"/>
      <c r="D40" s="19"/>
      <c r="E40" s="20"/>
      <c r="F40" s="20"/>
      <c r="G40" s="34"/>
    </row>
    <row r="41" spans="1:7" ht="15.75" x14ac:dyDescent="0.25">
      <c r="A41" s="68" t="s">
        <v>60</v>
      </c>
      <c r="B41" s="44"/>
      <c r="C41" s="19"/>
      <c r="D41" s="22"/>
      <c r="E41" s="23"/>
      <c r="F41" s="23"/>
      <c r="G41" s="34"/>
    </row>
    <row r="42" spans="1:7" ht="15.75" x14ac:dyDescent="0.25">
      <c r="A42" s="63" t="s">
        <v>12</v>
      </c>
      <c r="B42" s="44"/>
      <c r="C42" s="19"/>
      <c r="D42" s="22"/>
      <c r="E42" s="23"/>
      <c r="F42" s="23"/>
      <c r="G42" s="34"/>
    </row>
    <row r="43" spans="1:7" x14ac:dyDescent="0.25">
      <c r="A43" s="57" t="s">
        <v>29</v>
      </c>
      <c r="B43" s="2">
        <v>270</v>
      </c>
      <c r="C43" s="3" t="s">
        <v>10</v>
      </c>
      <c r="D43" s="4" t="s">
        <v>42</v>
      </c>
      <c r="E43" s="2">
        <f>B43*200</f>
        <v>54000</v>
      </c>
      <c r="F43" s="2">
        <f>B43*100</f>
        <v>27000</v>
      </c>
      <c r="G43" s="33"/>
    </row>
    <row r="44" spans="1:7" x14ac:dyDescent="0.25">
      <c r="A44" s="57" t="s">
        <v>30</v>
      </c>
      <c r="B44" s="2">
        <v>5000</v>
      </c>
      <c r="C44" s="3">
        <v>1</v>
      </c>
      <c r="D44" s="4"/>
      <c r="E44" s="2">
        <v>5000</v>
      </c>
      <c r="F44" s="2">
        <v>0</v>
      </c>
      <c r="G44" s="33"/>
    </row>
    <row r="45" spans="1:7" x14ac:dyDescent="0.25">
      <c r="A45" s="57" t="s">
        <v>31</v>
      </c>
      <c r="B45" s="2">
        <v>5000</v>
      </c>
      <c r="C45" s="3">
        <v>1</v>
      </c>
      <c r="D45" s="4"/>
      <c r="E45" s="2">
        <v>5000</v>
      </c>
      <c r="F45" s="2">
        <v>0</v>
      </c>
      <c r="G45" s="33"/>
    </row>
    <row r="46" spans="1:7" x14ac:dyDescent="0.25">
      <c r="A46" s="57" t="s">
        <v>32</v>
      </c>
      <c r="B46" s="2">
        <v>10000</v>
      </c>
      <c r="C46" s="3">
        <v>2</v>
      </c>
      <c r="D46" s="4"/>
      <c r="E46" s="2">
        <v>10000</v>
      </c>
      <c r="F46" s="2">
        <v>0</v>
      </c>
      <c r="G46" s="33"/>
    </row>
    <row r="47" spans="1:7" x14ac:dyDescent="0.25">
      <c r="A47" s="57" t="s">
        <v>33</v>
      </c>
      <c r="B47" s="2">
        <v>100</v>
      </c>
      <c r="C47" s="3">
        <v>30</v>
      </c>
      <c r="D47" s="4"/>
      <c r="E47" s="2">
        <f>B47*C47</f>
        <v>3000</v>
      </c>
      <c r="F47" s="2">
        <f>E47/2</f>
        <v>1500</v>
      </c>
      <c r="G47" s="33"/>
    </row>
    <row r="48" spans="1:7" x14ac:dyDescent="0.25">
      <c r="A48" s="57" t="s">
        <v>34</v>
      </c>
      <c r="B48" s="2">
        <v>100</v>
      </c>
      <c r="C48" s="3">
        <v>50</v>
      </c>
      <c r="D48" s="4"/>
      <c r="E48" s="2">
        <f t="shared" ref="E48:E49" si="1">B48*C48</f>
        <v>5000</v>
      </c>
      <c r="F48" s="2">
        <f t="shared" ref="F48" si="2">E48/2</f>
        <v>2500</v>
      </c>
      <c r="G48" s="33"/>
    </row>
    <row r="49" spans="1:7" x14ac:dyDescent="0.25">
      <c r="A49" s="57" t="s">
        <v>35</v>
      </c>
      <c r="B49" s="2">
        <v>100</v>
      </c>
      <c r="C49" s="3">
        <v>10</v>
      </c>
      <c r="D49" s="4"/>
      <c r="E49" s="2">
        <f t="shared" si="1"/>
        <v>1000</v>
      </c>
      <c r="F49" s="2">
        <v>0</v>
      </c>
      <c r="G49" s="33"/>
    </row>
    <row r="50" spans="1:7" x14ac:dyDescent="0.25">
      <c r="A50" s="67"/>
      <c r="B50" s="44"/>
      <c r="C50" s="19"/>
      <c r="D50" s="41" t="s">
        <v>61</v>
      </c>
      <c r="E50" s="42">
        <f>SUM(E43:E49)</f>
        <v>83000</v>
      </c>
      <c r="F50" s="42">
        <f>SUM(F43:F49)</f>
        <v>31000</v>
      </c>
      <c r="G50" s="33"/>
    </row>
    <row r="51" spans="1:7" x14ac:dyDescent="0.25">
      <c r="A51" s="57"/>
      <c r="B51" s="44"/>
      <c r="C51" s="19"/>
      <c r="D51" s="22"/>
      <c r="E51" s="23"/>
      <c r="F51" s="23"/>
      <c r="G51" s="34"/>
    </row>
    <row r="52" spans="1:7" x14ac:dyDescent="0.25">
      <c r="A52" s="57"/>
      <c r="B52" s="44"/>
      <c r="C52" s="19"/>
      <c r="D52" s="22"/>
      <c r="E52" s="23"/>
      <c r="F52" s="23"/>
      <c r="G52" s="34"/>
    </row>
    <row r="53" spans="1:7" ht="47.25" x14ac:dyDescent="0.25">
      <c r="A53" s="77" t="s">
        <v>36</v>
      </c>
      <c r="B53" s="44"/>
      <c r="C53" s="19"/>
      <c r="D53" s="19"/>
      <c r="E53" s="20"/>
      <c r="F53" s="20"/>
      <c r="G53" s="34"/>
    </row>
    <row r="54" spans="1:7" x14ac:dyDescent="0.25">
      <c r="A54" s="65" t="s">
        <v>43</v>
      </c>
      <c r="B54" s="2" t="s">
        <v>10</v>
      </c>
      <c r="C54" s="3" t="s">
        <v>10</v>
      </c>
      <c r="D54" s="3" t="s">
        <v>10</v>
      </c>
      <c r="E54" s="2">
        <v>1000</v>
      </c>
      <c r="F54" s="2">
        <v>750</v>
      </c>
      <c r="G54" s="33"/>
    </row>
    <row r="55" spans="1:7" x14ac:dyDescent="0.25">
      <c r="A55" s="65" t="s">
        <v>44</v>
      </c>
      <c r="B55" s="2" t="s">
        <v>10</v>
      </c>
      <c r="C55" s="3" t="s">
        <v>10</v>
      </c>
      <c r="D55" s="3" t="s">
        <v>10</v>
      </c>
      <c r="E55" s="2">
        <v>250</v>
      </c>
      <c r="F55" s="2">
        <v>100</v>
      </c>
      <c r="G55" s="33"/>
    </row>
    <row r="56" spans="1:7" x14ac:dyDescent="0.25">
      <c r="A56" s="65" t="s">
        <v>45</v>
      </c>
      <c r="B56" s="2" t="s">
        <v>10</v>
      </c>
      <c r="C56" s="3" t="s">
        <v>10</v>
      </c>
      <c r="D56" s="3" t="s">
        <v>10</v>
      </c>
      <c r="E56" s="2">
        <v>1000</v>
      </c>
      <c r="F56" s="2">
        <v>500</v>
      </c>
      <c r="G56" s="33"/>
    </row>
    <row r="57" spans="1:7" x14ac:dyDescent="0.25">
      <c r="A57" s="57"/>
      <c r="B57" s="2"/>
      <c r="C57" s="3"/>
      <c r="D57" s="41" t="s">
        <v>46</v>
      </c>
      <c r="E57" s="42">
        <f>SUM(E54:E56)</f>
        <v>2250</v>
      </c>
      <c r="F57" s="42">
        <f>SUM(F54:F56)</f>
        <v>1350</v>
      </c>
      <c r="G57" s="33"/>
    </row>
    <row r="58" spans="1:7" x14ac:dyDescent="0.25">
      <c r="A58" s="57"/>
      <c r="B58" s="2"/>
      <c r="C58" s="3"/>
      <c r="D58" s="45"/>
      <c r="E58" s="46"/>
      <c r="F58" s="46"/>
      <c r="G58" s="34"/>
    </row>
    <row r="59" spans="1:7" ht="31.5" customHeight="1" x14ac:dyDescent="0.25">
      <c r="A59" s="57"/>
      <c r="B59" s="2"/>
      <c r="C59" s="3"/>
      <c r="D59" s="78" t="s">
        <v>58</v>
      </c>
      <c r="E59" s="48">
        <f>E57+E50+E39+E28</f>
        <v>164994.97999999998</v>
      </c>
      <c r="F59" s="48">
        <f>F57+F50+F39+F28</f>
        <v>60564.15</v>
      </c>
      <c r="G59" s="33"/>
    </row>
    <row r="60" spans="1:7" ht="36" customHeight="1" x14ac:dyDescent="0.25">
      <c r="A60" s="74"/>
      <c r="B60" s="7"/>
      <c r="C60" s="8"/>
      <c r="D60" s="61" t="s">
        <v>62</v>
      </c>
      <c r="E60" s="62">
        <f>0.28*(SUM(E11,E23,E39,E50,E57))</f>
        <v>37518.594400000002</v>
      </c>
      <c r="F60" s="62">
        <f t="shared" ref="F60" si="3">0.28*(SUM(F11,F23,F39,F50,F57))</f>
        <v>16957.962000000003</v>
      </c>
      <c r="G60" s="33"/>
    </row>
    <row r="61" spans="1:7" ht="15.75" x14ac:dyDescent="0.25">
      <c r="A61" s="75"/>
      <c r="B61" s="2"/>
      <c r="C61" s="3"/>
      <c r="D61" s="50" t="s">
        <v>49</v>
      </c>
      <c r="E61" s="51">
        <f>0.35*(E16+E26)</f>
        <v>10850</v>
      </c>
      <c r="F61" s="51">
        <f t="shared" ref="F61" si="4">0.35*(F16+F26)</f>
        <v>0</v>
      </c>
      <c r="G61" s="33"/>
    </row>
    <row r="62" spans="1:7" ht="15.75" x14ac:dyDescent="0.25">
      <c r="A62" s="57"/>
      <c r="B62" s="3"/>
      <c r="C62" s="3"/>
      <c r="D62" s="47" t="s">
        <v>50</v>
      </c>
      <c r="E62" s="48">
        <f>SUM(E11,E23,E39,E50,E57,E60)</f>
        <v>171513.57439999998</v>
      </c>
      <c r="F62" s="48">
        <f>SUM(F11,F23,F39,F50,F57,F60)</f>
        <v>77522.112000000008</v>
      </c>
      <c r="G62" s="38"/>
    </row>
    <row r="63" spans="1:7" ht="15.75" x14ac:dyDescent="0.25">
      <c r="A63" s="58"/>
      <c r="B63" s="59"/>
      <c r="C63" s="59"/>
      <c r="D63" s="53" t="s">
        <v>51</v>
      </c>
      <c r="E63" s="54">
        <f>SUM(E16,E26,E61)</f>
        <v>41850</v>
      </c>
      <c r="F63" s="54">
        <f>SUM(F16,F26,F61)</f>
        <v>0</v>
      </c>
      <c r="G63" s="52"/>
    </row>
    <row r="64" spans="1:7" ht="21.75" thickBot="1" x14ac:dyDescent="0.4">
      <c r="A64" s="76"/>
      <c r="B64" s="49"/>
      <c r="C64" s="49"/>
      <c r="D64" s="55" t="s">
        <v>59</v>
      </c>
      <c r="E64" s="56">
        <f>E62+E63</f>
        <v>213363.57439999998</v>
      </c>
      <c r="F64" s="56">
        <f t="shared" ref="F64" si="5">F62+F63</f>
        <v>77522.112000000008</v>
      </c>
      <c r="G64" s="39"/>
    </row>
    <row r="68" ht="15.75" customHeight="1" x14ac:dyDescent="0.25"/>
  </sheetData>
  <pageMargins left="0.45" right="0.45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B4215F8E-89D0-4AAE-8596-CCA0B4B912DB}"/>
</file>

<file path=customXml/itemProps2.xml><?xml version="1.0" encoding="utf-8"?>
<ds:datastoreItem xmlns:ds="http://schemas.openxmlformats.org/officeDocument/2006/customXml" ds:itemID="{CC04DD90-D566-4238-B1EE-65276B2CB047}"/>
</file>

<file path=customXml/itemProps3.xml><?xml version="1.0" encoding="utf-8"?>
<ds:datastoreItem xmlns:ds="http://schemas.openxmlformats.org/officeDocument/2006/customXml" ds:itemID="{14C90581-FDA5-49B4-9DF1-FEF89F06DF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DOI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Isanhart, John P</dc:creator>
  <cp:lastModifiedBy>Gerry J McChesney</cp:lastModifiedBy>
  <cp:lastPrinted>2016-03-07T23:57:50Z</cp:lastPrinted>
  <dcterms:created xsi:type="dcterms:W3CDTF">2016-03-04T15:47:15Z</dcterms:created>
  <dcterms:modified xsi:type="dcterms:W3CDTF">2016-03-08T23:17:51Z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317400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